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Documentos\CASA + ENGENHARIA\PROJETOS\POÇOS - GALEGO\PROJETO - SANTA LUZIA\PROJETOS\REVISÃO\"/>
    </mc:Choice>
  </mc:AlternateContent>
  <xr:revisionPtr revIDLastSave="0" documentId="13_ncr:1_{F50DD432-1525-4293-8DFD-E346A7B86CF4}" xr6:coauthVersionLast="47" xr6:coauthVersionMax="47" xr10:uidLastSave="{00000000-0000-0000-0000-000000000000}"/>
  <bookViews>
    <workbookView xWindow="3855" yWindow="2685" windowWidth="27930" windowHeight="11775" tabRatio="840" activeTab="6" xr2:uid="{58ADC25D-D3EA-410D-BC43-37D98B974834}"/>
  </bookViews>
  <sheets>
    <sheet name="ORÇAMENTO - SÃO JOSÉ" sheetId="1" r:id="rId1"/>
    <sheet name="ORÇAMENTO - NS FÁTIMA" sheetId="21" r:id="rId2"/>
    <sheet name="ORÇAMENTO - F. SERÁFICO" sheetId="20" r:id="rId3"/>
    <sheet name="ORÇAMENTO - TRINDADE VERNA" sheetId="19" r:id="rId4"/>
    <sheet name="BDI" sheetId="18" r:id="rId5"/>
    <sheet name="COMPOSIÇÕES" sheetId="2" r:id="rId6"/>
    <sheet name="RESUMO" sheetId="23" r:id="rId7"/>
    <sheet name="CRONOGRAMA" sheetId="24" r:id="rId8"/>
    <sheet name="TAXAS" sheetId="25" r:id="rId9"/>
  </sheets>
  <externalReferences>
    <externalReference r:id="rId10"/>
  </externalReferences>
  <definedNames>
    <definedName name="_xlnm.Print_Titles" localSheetId="5">COMPOSIÇÕES!$A:$G,COMPOSIÇÕES!$1:$3</definedName>
    <definedName name="_xlnm.Print_Titles" localSheetId="2">'ORÇAMENTO - F. SERÁFICO'!$A:$G,'ORÇAMENTO - F. SERÁFICO'!$1:$5</definedName>
    <definedName name="_xlnm.Print_Titles" localSheetId="1">'ORÇAMENTO - NS FÁTIMA'!$A:$G,'ORÇAMENTO - NS FÁTIMA'!$1:$5</definedName>
    <definedName name="_xlnm.Print_Titles" localSheetId="0">'ORÇAMENTO - SÃO JOSÉ'!$A:$G,'ORÇAMENTO - SÃO JOSÉ'!$1:$5</definedName>
    <definedName name="_xlnm.Print_Titles" localSheetId="3">'ORÇAMENTO - TRINDADE VERNA'!$A:$G,'ORÇAMENTO - TRINDADE VERNA'!$1:$5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24" l="1"/>
  <c r="G97" i="24" s="1"/>
  <c r="E97" i="24"/>
  <c r="F77" i="24"/>
  <c r="E77" i="24"/>
  <c r="F76" i="24"/>
  <c r="E76" i="24"/>
  <c r="F56" i="24"/>
  <c r="E56" i="24"/>
  <c r="F55" i="24"/>
  <c r="G55" i="24"/>
  <c r="E55" i="24"/>
  <c r="F35" i="24"/>
  <c r="E35" i="24"/>
  <c r="F34" i="24"/>
  <c r="E34" i="24"/>
  <c r="G34" i="24"/>
  <c r="F50" i="21"/>
  <c r="G76" i="19"/>
  <c r="G76" i="20"/>
  <c r="F51" i="1"/>
  <c r="H51" i="1" s="1"/>
  <c r="F89" i="1"/>
  <c r="H89" i="1" s="1"/>
  <c r="F88" i="1"/>
  <c r="H88" i="1" s="1"/>
  <c r="F87" i="1"/>
  <c r="F86" i="1"/>
  <c r="H86" i="1" s="1"/>
  <c r="F85" i="1"/>
  <c r="F84" i="1"/>
  <c r="F83" i="1"/>
  <c r="F82" i="1"/>
  <c r="H82" i="1" s="1"/>
  <c r="F81" i="1"/>
  <c r="H81" i="1" s="1"/>
  <c r="F77" i="1"/>
  <c r="H77" i="1" s="1"/>
  <c r="F74" i="1"/>
  <c r="H74" i="1" s="1"/>
  <c r="F73" i="1"/>
  <c r="H73" i="1" s="1"/>
  <c r="F72" i="1"/>
  <c r="F71" i="1"/>
  <c r="F70" i="1"/>
  <c r="H70" i="1" s="1"/>
  <c r="F69" i="1"/>
  <c r="H69" i="1" s="1"/>
  <c r="F68" i="1"/>
  <c r="F67" i="1"/>
  <c r="F66" i="1"/>
  <c r="H66" i="1" s="1"/>
  <c r="F65" i="1"/>
  <c r="H65" i="1" s="1"/>
  <c r="F64" i="1"/>
  <c r="F62" i="1"/>
  <c r="F61" i="1"/>
  <c r="H61" i="1" s="1"/>
  <c r="F60" i="1"/>
  <c r="F59" i="1"/>
  <c r="F58" i="1"/>
  <c r="F57" i="1"/>
  <c r="H57" i="1" s="1"/>
  <c r="F56" i="1"/>
  <c r="F53" i="1"/>
  <c r="F52" i="1"/>
  <c r="H52" i="1" s="1"/>
  <c r="F50" i="1"/>
  <c r="F49" i="1"/>
  <c r="H49" i="1" s="1"/>
  <c r="F44" i="1"/>
  <c r="H44" i="1" s="1"/>
  <c r="F43" i="1"/>
  <c r="H43" i="1" s="1"/>
  <c r="F42" i="1"/>
  <c r="F41" i="1"/>
  <c r="F40" i="1"/>
  <c r="F39" i="1"/>
  <c r="F38" i="1"/>
  <c r="F37" i="1"/>
  <c r="F36" i="1"/>
  <c r="H36" i="1" s="1"/>
  <c r="F35" i="1"/>
  <c r="H35" i="1" s="1"/>
  <c r="F32" i="1"/>
  <c r="F31" i="1"/>
  <c r="H31" i="1" s="1"/>
  <c r="F30" i="1"/>
  <c r="F29" i="1"/>
  <c r="F28" i="1"/>
  <c r="H28" i="1" s="1"/>
  <c r="F25" i="1"/>
  <c r="F24" i="1"/>
  <c r="H24" i="1" s="1"/>
  <c r="F23" i="1"/>
  <c r="F22" i="1"/>
  <c r="F21" i="1"/>
  <c r="F20" i="1"/>
  <c r="F19" i="1"/>
  <c r="F18" i="1"/>
  <c r="F17" i="1"/>
  <c r="F16" i="1"/>
  <c r="H16" i="1" s="1"/>
  <c r="F10" i="1"/>
  <c r="F11" i="1"/>
  <c r="F88" i="21"/>
  <c r="F87" i="21"/>
  <c r="G87" i="21" s="1"/>
  <c r="I87" i="21" s="1"/>
  <c r="F86" i="21"/>
  <c r="G86" i="21" s="1"/>
  <c r="I86" i="21" s="1"/>
  <c r="F85" i="21"/>
  <c r="F84" i="21"/>
  <c r="F83" i="21"/>
  <c r="F82" i="21"/>
  <c r="H82" i="21" s="1"/>
  <c r="F81" i="21"/>
  <c r="F80" i="21"/>
  <c r="F76" i="21"/>
  <c r="G76" i="21" s="1"/>
  <c r="I76" i="21" s="1"/>
  <c r="F73" i="21"/>
  <c r="F72" i="21"/>
  <c r="F71" i="21"/>
  <c r="F70" i="21"/>
  <c r="F69" i="21"/>
  <c r="G69" i="21" s="1"/>
  <c r="I69" i="21" s="1"/>
  <c r="F68" i="21"/>
  <c r="F67" i="21"/>
  <c r="G67" i="21" s="1"/>
  <c r="I67" i="21" s="1"/>
  <c r="F66" i="21"/>
  <c r="G66" i="21" s="1"/>
  <c r="I66" i="21" s="1"/>
  <c r="F65" i="21"/>
  <c r="F64" i="21"/>
  <c r="F63" i="21"/>
  <c r="F61" i="21"/>
  <c r="F60" i="21"/>
  <c r="G60" i="21" s="1"/>
  <c r="I60" i="21" s="1"/>
  <c r="F59" i="21"/>
  <c r="F58" i="21"/>
  <c r="G58" i="21" s="1"/>
  <c r="I58" i="21" s="1"/>
  <c r="F57" i="21"/>
  <c r="H57" i="21" s="1"/>
  <c r="F56" i="21"/>
  <c r="F55" i="21"/>
  <c r="F52" i="21"/>
  <c r="F51" i="21"/>
  <c r="F49" i="21"/>
  <c r="G49" i="21" s="1"/>
  <c r="F48" i="21"/>
  <c r="F43" i="21"/>
  <c r="G43" i="21" s="1"/>
  <c r="I43" i="21" s="1"/>
  <c r="F42" i="21"/>
  <c r="G42" i="21" s="1"/>
  <c r="I42" i="21" s="1"/>
  <c r="F41" i="21"/>
  <c r="F40" i="21"/>
  <c r="G40" i="21" s="1"/>
  <c r="I40" i="21" s="1"/>
  <c r="F39" i="21"/>
  <c r="F38" i="21"/>
  <c r="G38" i="21" s="1"/>
  <c r="I38" i="21" s="1"/>
  <c r="F37" i="21"/>
  <c r="F36" i="21"/>
  <c r="F35" i="21"/>
  <c r="F34" i="21"/>
  <c r="F31" i="21"/>
  <c r="H31" i="21" s="1"/>
  <c r="F30" i="21"/>
  <c r="G30" i="21" s="1"/>
  <c r="I30" i="21" s="1"/>
  <c r="F29" i="21"/>
  <c r="F28" i="21"/>
  <c r="F27" i="21"/>
  <c r="G27" i="21" s="1"/>
  <c r="I27" i="21" s="1"/>
  <c r="F24" i="21"/>
  <c r="F23" i="21"/>
  <c r="F22" i="21"/>
  <c r="G22" i="21" s="1"/>
  <c r="F21" i="21"/>
  <c r="F20" i="21"/>
  <c r="F19" i="21"/>
  <c r="F18" i="21"/>
  <c r="F17" i="21"/>
  <c r="F16" i="21"/>
  <c r="F15" i="21"/>
  <c r="F10" i="21"/>
  <c r="G10" i="21" s="1"/>
  <c r="F9" i="21"/>
  <c r="G9" i="21" s="1"/>
  <c r="G48" i="21"/>
  <c r="G39" i="21"/>
  <c r="I39" i="21" s="1"/>
  <c r="G37" i="21"/>
  <c r="I37" i="21" s="1"/>
  <c r="G36" i="21"/>
  <c r="I36" i="21" s="1"/>
  <c r="G28" i="21"/>
  <c r="I28" i="21" s="1"/>
  <c r="H25" i="1"/>
  <c r="H22" i="1"/>
  <c r="H21" i="1"/>
  <c r="H18" i="1"/>
  <c r="G16" i="20"/>
  <c r="G17" i="20"/>
  <c r="I17" i="20" s="1"/>
  <c r="G18" i="20"/>
  <c r="G19" i="20"/>
  <c r="G20" i="20"/>
  <c r="G21" i="20"/>
  <c r="G23" i="20"/>
  <c r="G24" i="20"/>
  <c r="G16" i="19"/>
  <c r="I16" i="19" s="1"/>
  <c r="G17" i="19"/>
  <c r="G18" i="19"/>
  <c r="G19" i="19"/>
  <c r="G20" i="19"/>
  <c r="G21" i="19"/>
  <c r="I21" i="19" s="1"/>
  <c r="G23" i="19"/>
  <c r="G24" i="19"/>
  <c r="I24" i="19" s="1"/>
  <c r="G16" i="21"/>
  <c r="G17" i="21"/>
  <c r="G18" i="21"/>
  <c r="G19" i="21"/>
  <c r="G20" i="21"/>
  <c r="I20" i="21" s="1"/>
  <c r="G21" i="21"/>
  <c r="G23" i="21"/>
  <c r="G24" i="21"/>
  <c r="G15" i="20"/>
  <c r="G15" i="19"/>
  <c r="I15" i="19" s="1"/>
  <c r="G15" i="21"/>
  <c r="G28" i="20"/>
  <c r="G29" i="20"/>
  <c r="G30" i="20"/>
  <c r="G31" i="20"/>
  <c r="G28" i="19"/>
  <c r="G29" i="19"/>
  <c r="G30" i="19"/>
  <c r="I30" i="19" s="1"/>
  <c r="G31" i="19"/>
  <c r="I31" i="19" s="1"/>
  <c r="G29" i="21"/>
  <c r="G31" i="21"/>
  <c r="I31" i="21" s="1"/>
  <c r="G27" i="20"/>
  <c r="I27" i="20" s="1"/>
  <c r="G27" i="19"/>
  <c r="I27" i="19" s="1"/>
  <c r="I29" i="20"/>
  <c r="I29" i="21"/>
  <c r="G35" i="20"/>
  <c r="G36" i="20"/>
  <c r="G37" i="20"/>
  <c r="G38" i="20"/>
  <c r="G39" i="20"/>
  <c r="I39" i="20" s="1"/>
  <c r="G40" i="20"/>
  <c r="I40" i="20" s="1"/>
  <c r="G41" i="20"/>
  <c r="G42" i="20"/>
  <c r="G43" i="20"/>
  <c r="G35" i="19"/>
  <c r="I35" i="19" s="1"/>
  <c r="G36" i="19"/>
  <c r="G37" i="19"/>
  <c r="G38" i="19"/>
  <c r="G39" i="19"/>
  <c r="I39" i="19" s="1"/>
  <c r="G40" i="19"/>
  <c r="G41" i="19"/>
  <c r="G42" i="19"/>
  <c r="I42" i="19" s="1"/>
  <c r="G43" i="19"/>
  <c r="I43" i="19" s="1"/>
  <c r="G35" i="21"/>
  <c r="I35" i="21" s="1"/>
  <c r="G41" i="21"/>
  <c r="G34" i="20"/>
  <c r="G34" i="19"/>
  <c r="G34" i="21"/>
  <c r="I34" i="21" s="1"/>
  <c r="G50" i="21"/>
  <c r="I50" i="21" s="1"/>
  <c r="G51" i="21"/>
  <c r="G52" i="21"/>
  <c r="G50" i="20"/>
  <c r="I50" i="20" s="1"/>
  <c r="G51" i="20"/>
  <c r="I51" i="20" s="1"/>
  <c r="G52" i="20"/>
  <c r="G50" i="19"/>
  <c r="I50" i="19" s="1"/>
  <c r="G51" i="19"/>
  <c r="I51" i="19" s="1"/>
  <c r="G52" i="19"/>
  <c r="G48" i="20"/>
  <c r="G48" i="19"/>
  <c r="G56" i="21"/>
  <c r="I56" i="21" s="1"/>
  <c r="G59" i="21"/>
  <c r="G61" i="21"/>
  <c r="G62" i="21"/>
  <c r="G63" i="21"/>
  <c r="I63" i="21" s="1"/>
  <c r="G64" i="21"/>
  <c r="I64" i="21" s="1"/>
  <c r="G65" i="21"/>
  <c r="I65" i="21" s="1"/>
  <c r="G68" i="21"/>
  <c r="G70" i="21"/>
  <c r="I70" i="21" s="1"/>
  <c r="G71" i="21"/>
  <c r="I71" i="21" s="1"/>
  <c r="G72" i="21"/>
  <c r="I72" i="21" s="1"/>
  <c r="G73" i="21"/>
  <c r="I73" i="21" s="1"/>
  <c r="G56" i="19"/>
  <c r="G57" i="19"/>
  <c r="G58" i="19"/>
  <c r="G59" i="19"/>
  <c r="G60" i="19"/>
  <c r="G61" i="19"/>
  <c r="I61" i="19" s="1"/>
  <c r="G62" i="19"/>
  <c r="G63" i="19"/>
  <c r="I63" i="19" s="1"/>
  <c r="G64" i="19"/>
  <c r="I64" i="19" s="1"/>
  <c r="G65" i="19"/>
  <c r="G66" i="19"/>
  <c r="G67" i="19"/>
  <c r="G68" i="19"/>
  <c r="G69" i="19"/>
  <c r="I69" i="19" s="1"/>
  <c r="G70" i="19"/>
  <c r="G71" i="19"/>
  <c r="G72" i="19"/>
  <c r="G73" i="19"/>
  <c r="G56" i="20"/>
  <c r="I56" i="20" s="1"/>
  <c r="G57" i="20"/>
  <c r="G58" i="20"/>
  <c r="G59" i="20"/>
  <c r="I59" i="20" s="1"/>
  <c r="G60" i="20"/>
  <c r="G61" i="20"/>
  <c r="G62" i="20"/>
  <c r="G63" i="20"/>
  <c r="G64" i="20"/>
  <c r="G65" i="20"/>
  <c r="G66" i="20"/>
  <c r="G67" i="20"/>
  <c r="I67" i="20" s="1"/>
  <c r="G68" i="20"/>
  <c r="G69" i="20"/>
  <c r="G70" i="20"/>
  <c r="I70" i="20" s="1"/>
  <c r="G71" i="20"/>
  <c r="G72" i="20"/>
  <c r="G73" i="20"/>
  <c r="G55" i="21"/>
  <c r="G55" i="19"/>
  <c r="G55" i="20"/>
  <c r="I68" i="21"/>
  <c r="I55" i="21"/>
  <c r="I55" i="20"/>
  <c r="G81" i="20"/>
  <c r="G82" i="20"/>
  <c r="I82" i="20" s="1"/>
  <c r="G83" i="20"/>
  <c r="I83" i="20" s="1"/>
  <c r="G84" i="20"/>
  <c r="G85" i="20"/>
  <c r="G86" i="20"/>
  <c r="I86" i="20" s="1"/>
  <c r="G87" i="20"/>
  <c r="G88" i="20"/>
  <c r="G81" i="19"/>
  <c r="I81" i="19" s="1"/>
  <c r="G82" i="19"/>
  <c r="G83" i="19"/>
  <c r="G84" i="19"/>
  <c r="G85" i="19"/>
  <c r="G86" i="19"/>
  <c r="G87" i="19"/>
  <c r="I87" i="19" s="1"/>
  <c r="G88" i="19"/>
  <c r="G81" i="21"/>
  <c r="I81" i="21" s="1"/>
  <c r="G83" i="21"/>
  <c r="G84" i="21"/>
  <c r="G85" i="21"/>
  <c r="I85" i="21" s="1"/>
  <c r="G88" i="21"/>
  <c r="I88" i="21" s="1"/>
  <c r="I82" i="19"/>
  <c r="I81" i="20"/>
  <c r="G80" i="20"/>
  <c r="I80" i="20" s="1"/>
  <c r="G80" i="19"/>
  <c r="I80" i="19" s="1"/>
  <c r="G80" i="21"/>
  <c r="I80" i="21" s="1"/>
  <c r="F88" i="20"/>
  <c r="F88" i="19"/>
  <c r="F87" i="20"/>
  <c r="H87" i="20" s="1"/>
  <c r="F87" i="19"/>
  <c r="F86" i="20"/>
  <c r="F86" i="19"/>
  <c r="F85" i="20"/>
  <c r="H85" i="20" s="1"/>
  <c r="F85" i="19"/>
  <c r="F84" i="20"/>
  <c r="F84" i="19"/>
  <c r="F82" i="20"/>
  <c r="F82" i="19"/>
  <c r="F81" i="20"/>
  <c r="F81" i="19"/>
  <c r="F80" i="20"/>
  <c r="F80" i="19"/>
  <c r="F76" i="20"/>
  <c r="F76" i="19"/>
  <c r="F73" i="20"/>
  <c r="F73" i="19"/>
  <c r="F72" i="20"/>
  <c r="F72" i="19"/>
  <c r="F71" i="20"/>
  <c r="F71" i="19"/>
  <c r="F70" i="20"/>
  <c r="F70" i="19"/>
  <c r="F69" i="20"/>
  <c r="F69" i="19"/>
  <c r="F68" i="20"/>
  <c r="F68" i="19"/>
  <c r="F67" i="20"/>
  <c r="H67" i="20" s="1"/>
  <c r="F67" i="19"/>
  <c r="F66" i="20"/>
  <c r="F66" i="19"/>
  <c r="F65" i="20"/>
  <c r="F65" i="19"/>
  <c r="F64" i="20"/>
  <c r="F64" i="19"/>
  <c r="F63" i="20"/>
  <c r="F63" i="19"/>
  <c r="F60" i="20"/>
  <c r="F60" i="19"/>
  <c r="F59" i="20"/>
  <c r="F59" i="19"/>
  <c r="F58" i="20"/>
  <c r="F58" i="19"/>
  <c r="F57" i="20"/>
  <c r="F57" i="19"/>
  <c r="F56" i="20"/>
  <c r="F56" i="19"/>
  <c r="F55" i="20"/>
  <c r="H55" i="20" s="1"/>
  <c r="F55" i="19"/>
  <c r="F52" i="20"/>
  <c r="F52" i="19"/>
  <c r="I34" i="20"/>
  <c r="I36" i="20"/>
  <c r="I36" i="19"/>
  <c r="I37" i="19"/>
  <c r="I42" i="20"/>
  <c r="I43" i="20"/>
  <c r="F43" i="20"/>
  <c r="H43" i="20" s="1"/>
  <c r="F43" i="19"/>
  <c r="F42" i="20"/>
  <c r="H42" i="20" s="1"/>
  <c r="F42" i="19"/>
  <c r="F40" i="20"/>
  <c r="F40" i="19"/>
  <c r="F39" i="20"/>
  <c r="H39" i="20" s="1"/>
  <c r="F39" i="19"/>
  <c r="F38" i="20"/>
  <c r="F38" i="19"/>
  <c r="F37" i="20"/>
  <c r="F37" i="19"/>
  <c r="F36" i="20"/>
  <c r="F36" i="19"/>
  <c r="F35" i="20"/>
  <c r="F35" i="19"/>
  <c r="F34" i="20"/>
  <c r="H34" i="20" s="1"/>
  <c r="F34" i="19"/>
  <c r="I15" i="20"/>
  <c r="I16" i="20"/>
  <c r="I19" i="20"/>
  <c r="I20" i="20"/>
  <c r="I20" i="19"/>
  <c r="I15" i="21"/>
  <c r="I24" i="20"/>
  <c r="I29" i="19"/>
  <c r="F30" i="20"/>
  <c r="F30" i="19"/>
  <c r="F29" i="20"/>
  <c r="F29" i="19"/>
  <c r="F28" i="20"/>
  <c r="F28" i="19"/>
  <c r="F27" i="20"/>
  <c r="F27" i="19"/>
  <c r="F24" i="20"/>
  <c r="F24" i="19"/>
  <c r="F21" i="20"/>
  <c r="F21" i="19"/>
  <c r="F20" i="20"/>
  <c r="H20" i="20" s="1"/>
  <c r="F20" i="19"/>
  <c r="H20" i="19" s="1"/>
  <c r="F19" i="20"/>
  <c r="F19" i="19"/>
  <c r="F18" i="20"/>
  <c r="F18" i="19"/>
  <c r="F17" i="20"/>
  <c r="F17" i="19"/>
  <c r="F16" i="20"/>
  <c r="H16" i="20" s="1"/>
  <c r="F16" i="19"/>
  <c r="I52" i="21"/>
  <c r="I59" i="21"/>
  <c r="H83" i="21"/>
  <c r="H80" i="21"/>
  <c r="H81" i="21"/>
  <c r="H84" i="21"/>
  <c r="H87" i="21"/>
  <c r="H88" i="21"/>
  <c r="H58" i="21"/>
  <c r="H63" i="21"/>
  <c r="H71" i="21"/>
  <c r="H61" i="21"/>
  <c r="H83" i="1"/>
  <c r="H84" i="1"/>
  <c r="H85" i="1"/>
  <c r="H87" i="1"/>
  <c r="H58" i="1"/>
  <c r="H59" i="1"/>
  <c r="H60" i="1"/>
  <c r="H62" i="1"/>
  <c r="H63" i="1"/>
  <c r="H64" i="1"/>
  <c r="H67" i="1"/>
  <c r="H68" i="1"/>
  <c r="H71" i="1"/>
  <c r="H72" i="1"/>
  <c r="H56" i="1"/>
  <c r="H53" i="1"/>
  <c r="H37" i="1"/>
  <c r="H38" i="1"/>
  <c r="H39" i="1"/>
  <c r="H40" i="1"/>
  <c r="H41" i="1"/>
  <c r="H42" i="1"/>
  <c r="H29" i="1"/>
  <c r="H30" i="1"/>
  <c r="H32" i="1"/>
  <c r="H17" i="1"/>
  <c r="H19" i="1"/>
  <c r="H20" i="1"/>
  <c r="H9" i="1"/>
  <c r="H81" i="20"/>
  <c r="H82" i="20"/>
  <c r="H83" i="20"/>
  <c r="H84" i="20"/>
  <c r="H86" i="20"/>
  <c r="H88" i="20"/>
  <c r="H81" i="19"/>
  <c r="H82" i="19"/>
  <c r="H83" i="19"/>
  <c r="H84" i="19"/>
  <c r="H85" i="19"/>
  <c r="H86" i="19"/>
  <c r="H87" i="19"/>
  <c r="H88" i="19"/>
  <c r="H85" i="21"/>
  <c r="H86" i="21"/>
  <c r="H80" i="20"/>
  <c r="H80" i="19"/>
  <c r="H76" i="20"/>
  <c r="H76" i="19"/>
  <c r="H76" i="21"/>
  <c r="H56" i="20"/>
  <c r="H57" i="20"/>
  <c r="H58" i="20"/>
  <c r="H59" i="20"/>
  <c r="H60" i="20"/>
  <c r="H61" i="20"/>
  <c r="H62" i="20"/>
  <c r="H63" i="20"/>
  <c r="H64" i="20"/>
  <c r="H65" i="20"/>
  <c r="H66" i="20"/>
  <c r="H68" i="20"/>
  <c r="H69" i="20"/>
  <c r="H70" i="20"/>
  <c r="H71" i="20"/>
  <c r="H72" i="20"/>
  <c r="H73" i="20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56" i="21"/>
  <c r="H59" i="21"/>
  <c r="H60" i="21"/>
  <c r="H62" i="21"/>
  <c r="H64" i="21"/>
  <c r="H65" i="21"/>
  <c r="H68" i="21"/>
  <c r="H69" i="21"/>
  <c r="H70" i="21"/>
  <c r="H72" i="21"/>
  <c r="H73" i="21"/>
  <c r="H55" i="19"/>
  <c r="H55" i="21"/>
  <c r="H50" i="20"/>
  <c r="H51" i="20"/>
  <c r="H52" i="20"/>
  <c r="H50" i="19"/>
  <c r="H51" i="19"/>
  <c r="H52" i="19"/>
  <c r="H50" i="21"/>
  <c r="H51" i="21"/>
  <c r="H52" i="21"/>
  <c r="H48" i="20"/>
  <c r="H48" i="19"/>
  <c r="H35" i="20"/>
  <c r="H36" i="20"/>
  <c r="H37" i="20"/>
  <c r="H38" i="20"/>
  <c r="H40" i="20"/>
  <c r="H41" i="20"/>
  <c r="H35" i="19"/>
  <c r="H36" i="19"/>
  <c r="H37" i="19"/>
  <c r="H38" i="19"/>
  <c r="H39" i="19"/>
  <c r="H40" i="19"/>
  <c r="H41" i="19"/>
  <c r="H42" i="19"/>
  <c r="H43" i="19"/>
  <c r="H35" i="21"/>
  <c r="H38" i="21"/>
  <c r="H39" i="21"/>
  <c r="H40" i="21"/>
  <c r="H41" i="21"/>
  <c r="H42" i="21"/>
  <c r="H34" i="19"/>
  <c r="H34" i="21"/>
  <c r="H28" i="20"/>
  <c r="H29" i="20"/>
  <c r="H30" i="20"/>
  <c r="H31" i="20"/>
  <c r="H28" i="19"/>
  <c r="H29" i="19"/>
  <c r="H30" i="19"/>
  <c r="H31" i="19"/>
  <c r="H29" i="21"/>
  <c r="H30" i="21"/>
  <c r="H27" i="20"/>
  <c r="H27" i="19"/>
  <c r="H27" i="21"/>
  <c r="H17" i="20"/>
  <c r="H18" i="20"/>
  <c r="H19" i="20"/>
  <c r="H21" i="20"/>
  <c r="H23" i="20"/>
  <c r="H24" i="20"/>
  <c r="H16" i="19"/>
  <c r="H17" i="19"/>
  <c r="H18" i="19"/>
  <c r="H19" i="19"/>
  <c r="H21" i="19"/>
  <c r="H23" i="19"/>
  <c r="H24" i="19"/>
  <c r="H16" i="21"/>
  <c r="H17" i="21"/>
  <c r="H18" i="21"/>
  <c r="H19" i="21"/>
  <c r="H20" i="21"/>
  <c r="H21" i="21"/>
  <c r="H23" i="21"/>
  <c r="H24" i="21"/>
  <c r="H15" i="20"/>
  <c r="H15" i="19"/>
  <c r="H15" i="21"/>
  <c r="I9" i="1"/>
  <c r="I88" i="20"/>
  <c r="I88" i="19"/>
  <c r="I87" i="20"/>
  <c r="I86" i="19"/>
  <c r="I85" i="20"/>
  <c r="I85" i="19"/>
  <c r="I84" i="20"/>
  <c r="I84" i="19"/>
  <c r="I84" i="21"/>
  <c r="I83" i="19"/>
  <c r="I76" i="20"/>
  <c r="I76" i="19"/>
  <c r="I73" i="20"/>
  <c r="I73" i="19"/>
  <c r="I72" i="20"/>
  <c r="I72" i="19"/>
  <c r="I71" i="20"/>
  <c r="I71" i="19"/>
  <c r="I70" i="19"/>
  <c r="I69" i="20"/>
  <c r="I68" i="20"/>
  <c r="I68" i="19"/>
  <c r="I67" i="19"/>
  <c r="I66" i="20"/>
  <c r="I66" i="19"/>
  <c r="I65" i="20"/>
  <c r="I65" i="19"/>
  <c r="I64" i="20"/>
  <c r="I63" i="20"/>
  <c r="I61" i="20"/>
  <c r="I60" i="20"/>
  <c r="I60" i="19"/>
  <c r="I59" i="19"/>
  <c r="I58" i="20"/>
  <c r="I58" i="19"/>
  <c r="I57" i="20"/>
  <c r="I57" i="19"/>
  <c r="I56" i="19"/>
  <c r="I55" i="19"/>
  <c r="I52" i="20"/>
  <c r="I52" i="19"/>
  <c r="I48" i="20"/>
  <c r="I48" i="19"/>
  <c r="I41" i="20"/>
  <c r="I41" i="19"/>
  <c r="I41" i="21"/>
  <c r="I40" i="19"/>
  <c r="I38" i="20"/>
  <c r="I38" i="19"/>
  <c r="I37" i="20"/>
  <c r="I35" i="20"/>
  <c r="I34" i="19"/>
  <c r="I31" i="20"/>
  <c r="I30" i="20"/>
  <c r="I28" i="20"/>
  <c r="I28" i="19"/>
  <c r="I24" i="21"/>
  <c r="I23" i="20"/>
  <c r="I23" i="19"/>
  <c r="I23" i="21"/>
  <c r="I21" i="20"/>
  <c r="I21" i="21"/>
  <c r="I19" i="19"/>
  <c r="I19" i="21"/>
  <c r="I18" i="20"/>
  <c r="I18" i="19"/>
  <c r="I18" i="21"/>
  <c r="I17" i="19"/>
  <c r="I17" i="21"/>
  <c r="I16" i="21"/>
  <c r="F51" i="25"/>
  <c r="F53" i="25" s="1"/>
  <c r="F44" i="25"/>
  <c r="F34" i="25"/>
  <c r="F19" i="25"/>
  <c r="G76" i="24" l="1"/>
  <c r="G56" i="24"/>
  <c r="F98" i="24"/>
  <c r="E98" i="24"/>
  <c r="G35" i="24"/>
  <c r="G82" i="21"/>
  <c r="I82" i="21" s="1"/>
  <c r="G57" i="21"/>
  <c r="I57" i="21" s="1"/>
  <c r="H66" i="21"/>
  <c r="H54" i="21" s="1"/>
  <c r="H67" i="21"/>
  <c r="H43" i="21"/>
  <c r="H33" i="21" s="1"/>
  <c r="H48" i="21"/>
  <c r="H37" i="21"/>
  <c r="H36" i="21"/>
  <c r="H28" i="21"/>
  <c r="E84" i="21"/>
  <c r="E83" i="21"/>
  <c r="E82" i="21"/>
  <c r="E81" i="21"/>
  <c r="H78" i="21"/>
  <c r="E80" i="21"/>
  <c r="H75" i="21"/>
  <c r="E65" i="21"/>
  <c r="H26" i="21"/>
  <c r="H22" i="21"/>
  <c r="G3" i="21"/>
  <c r="E84" i="20"/>
  <c r="F83" i="20"/>
  <c r="E83" i="20"/>
  <c r="E82" i="20"/>
  <c r="E81" i="20"/>
  <c r="H78" i="20"/>
  <c r="E80" i="20"/>
  <c r="H75" i="20"/>
  <c r="E65" i="20"/>
  <c r="F61" i="20"/>
  <c r="H54" i="20"/>
  <c r="F51" i="20"/>
  <c r="F48" i="20"/>
  <c r="F41" i="20"/>
  <c r="H33" i="20"/>
  <c r="F31" i="20"/>
  <c r="H26" i="20"/>
  <c r="F23" i="20"/>
  <c r="F22" i="20"/>
  <c r="F15" i="20"/>
  <c r="G3" i="20"/>
  <c r="E84" i="19"/>
  <c r="F83" i="19"/>
  <c r="E83" i="19"/>
  <c r="E82" i="19"/>
  <c r="E81" i="19"/>
  <c r="H78" i="19"/>
  <c r="E80" i="19"/>
  <c r="H75" i="19"/>
  <c r="E65" i="19"/>
  <c r="F61" i="19"/>
  <c r="H54" i="19"/>
  <c r="F51" i="19"/>
  <c r="F48" i="19"/>
  <c r="F41" i="19"/>
  <c r="H33" i="19"/>
  <c r="F31" i="19"/>
  <c r="H26" i="19"/>
  <c r="F23" i="19"/>
  <c r="F22" i="19"/>
  <c r="F15" i="19"/>
  <c r="G3" i="19"/>
  <c r="H79" i="1"/>
  <c r="H76" i="1"/>
  <c r="H55" i="1"/>
  <c r="H34" i="1"/>
  <c r="H27" i="1"/>
  <c r="H23" i="1"/>
  <c r="F9" i="1"/>
  <c r="G77" i="24" l="1"/>
  <c r="G98" i="24"/>
  <c r="H22" i="20"/>
  <c r="H14" i="20" s="1"/>
  <c r="H12" i="20" s="1"/>
  <c r="G22" i="20"/>
  <c r="I22" i="20" s="1"/>
  <c r="H22" i="19"/>
  <c r="H14" i="19" s="1"/>
  <c r="H12" i="19" s="1"/>
  <c r="G22" i="19"/>
  <c r="I22" i="19" s="1"/>
  <c r="H15" i="1"/>
  <c r="H13" i="1" s="1"/>
  <c r="H14" i="21"/>
  <c r="H12" i="21" s="1"/>
  <c r="I22" i="21"/>
  <c r="G75" i="19"/>
  <c r="G75" i="20"/>
  <c r="I51" i="21"/>
  <c r="I48" i="21"/>
  <c r="G75" i="21"/>
  <c r="I61" i="21"/>
  <c r="I83" i="21"/>
  <c r="I75" i="19"/>
  <c r="I75" i="21" l="1"/>
  <c r="I78" i="19"/>
  <c r="G26" i="19"/>
  <c r="G26" i="20"/>
  <c r="I75" i="20"/>
  <c r="I26" i="20"/>
  <c r="G78" i="20"/>
  <c r="G14" i="20"/>
  <c r="G78" i="21"/>
  <c r="I33" i="21"/>
  <c r="G54" i="21"/>
  <c r="I26" i="21"/>
  <c r="G26" i="21"/>
  <c r="I78" i="21"/>
  <c r="I54" i="21"/>
  <c r="I14" i="21"/>
  <c r="G14" i="21"/>
  <c r="G33" i="21"/>
  <c r="I14" i="20"/>
  <c r="I33" i="20"/>
  <c r="G33" i="20"/>
  <c r="I54" i="20"/>
  <c r="I78" i="20"/>
  <c r="G54" i="20"/>
  <c r="I14" i="19"/>
  <c r="I26" i="19"/>
  <c r="I54" i="19"/>
  <c r="G33" i="19"/>
  <c r="G78" i="19"/>
  <c r="G54" i="19"/>
  <c r="I33" i="19"/>
  <c r="G14" i="19"/>
  <c r="I12" i="20" l="1"/>
  <c r="I12" i="21"/>
  <c r="G12" i="20"/>
  <c r="G12" i="21"/>
  <c r="I12" i="19"/>
  <c r="G12" i="19"/>
  <c r="E72" i="24" l="1"/>
  <c r="D72" i="24"/>
  <c r="E93" i="24"/>
  <c r="D93" i="24"/>
  <c r="E51" i="24"/>
  <c r="D51" i="24"/>
  <c r="G272" i="2"/>
  <c r="G271" i="2"/>
  <c r="G270" i="2"/>
  <c r="G269" i="2"/>
  <c r="G268" i="2"/>
  <c r="G267" i="2"/>
  <c r="G266" i="2"/>
  <c r="G265" i="2"/>
  <c r="G26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192" i="2"/>
  <c r="G191" i="2"/>
  <c r="G190" i="2"/>
  <c r="G194" i="2" s="1"/>
  <c r="F26" i="2" s="1"/>
  <c r="G179" i="2"/>
  <c r="G178" i="2"/>
  <c r="G177" i="2"/>
  <c r="G176" i="2"/>
  <c r="G181" i="2" s="1"/>
  <c r="F25" i="2" s="1"/>
  <c r="G165" i="2"/>
  <c r="G164" i="2"/>
  <c r="G163" i="2"/>
  <c r="G162" i="2"/>
  <c r="G161" i="2"/>
  <c r="G150" i="2"/>
  <c r="G149" i="2"/>
  <c r="G148" i="2"/>
  <c r="G147" i="2"/>
  <c r="G136" i="2"/>
  <c r="G138" i="2" s="1"/>
  <c r="F22" i="2" s="1"/>
  <c r="G135" i="2"/>
  <c r="G134" i="2"/>
  <c r="G133" i="2"/>
  <c r="G132" i="2"/>
  <c r="G131" i="2"/>
  <c r="G130" i="2"/>
  <c r="G125" i="2"/>
  <c r="G119" i="2"/>
  <c r="G118" i="2"/>
  <c r="G117" i="2"/>
  <c r="G116" i="2"/>
  <c r="G115" i="2"/>
  <c r="G114" i="2"/>
  <c r="G113" i="2"/>
  <c r="G112" i="2"/>
  <c r="G101" i="2"/>
  <c r="G100" i="2"/>
  <c r="G99" i="2"/>
  <c r="G98" i="2"/>
  <c r="G97" i="2"/>
  <c r="G96" i="2"/>
  <c r="G95" i="2"/>
  <c r="G103" i="2" s="1"/>
  <c r="F18" i="2" s="1"/>
  <c r="G94" i="2"/>
  <c r="G83" i="2"/>
  <c r="G82" i="2"/>
  <c r="G81" i="2"/>
  <c r="G80" i="2"/>
  <c r="G79" i="2"/>
  <c r="G78" i="2"/>
  <c r="G77" i="2"/>
  <c r="G76" i="2"/>
  <c r="G65" i="2"/>
  <c r="G64" i="2"/>
  <c r="G63" i="2"/>
  <c r="G62" i="2"/>
  <c r="G61" i="2"/>
  <c r="G50" i="2"/>
  <c r="G49" i="2"/>
  <c r="G48" i="2"/>
  <c r="G47" i="2"/>
  <c r="G46" i="2"/>
  <c r="G51" i="24" l="1"/>
  <c r="D52" i="24" s="1"/>
  <c r="G93" i="24"/>
  <c r="D94" i="24" s="1"/>
  <c r="G72" i="24"/>
  <c r="E73" i="24" s="1"/>
  <c r="G274" i="2"/>
  <c r="G255" i="2"/>
  <c r="F34" i="2" s="1"/>
  <c r="G227" i="2"/>
  <c r="F30" i="2" s="1"/>
  <c r="G167" i="2"/>
  <c r="F24" i="2" s="1"/>
  <c r="G152" i="2"/>
  <c r="F23" i="2" s="1"/>
  <c r="G121" i="2"/>
  <c r="F21" i="2" s="1"/>
  <c r="G85" i="2"/>
  <c r="F17" i="2" s="1"/>
  <c r="G67" i="2"/>
  <c r="F15" i="2" s="1"/>
  <c r="G52" i="2"/>
  <c r="F49" i="20" s="1"/>
  <c r="G49" i="20" s="1"/>
  <c r="E9" i="1"/>
  <c r="D73" i="24" l="1"/>
  <c r="G73" i="24" s="1"/>
  <c r="E94" i="24"/>
  <c r="G94" i="24" s="1"/>
  <c r="E52" i="24"/>
  <c r="G52" i="24" s="1"/>
  <c r="H10" i="1"/>
  <c r="F9" i="20"/>
  <c r="G9" i="20" s="1"/>
  <c r="F9" i="19"/>
  <c r="G9" i="19" s="1"/>
  <c r="F49" i="19"/>
  <c r="H50" i="1"/>
  <c r="H48" i="1" s="1"/>
  <c r="H46" i="1" s="1"/>
  <c r="H49" i="21"/>
  <c r="H47" i="21" s="1"/>
  <c r="H45" i="21" s="1"/>
  <c r="H49" i="20"/>
  <c r="H47" i="20" s="1"/>
  <c r="H45" i="20" s="1"/>
  <c r="B17" i="18"/>
  <c r="B33" i="18" s="1"/>
  <c r="H49" i="19" l="1"/>
  <c r="H47" i="19" s="1"/>
  <c r="H45" i="19" s="1"/>
  <c r="G49" i="19"/>
  <c r="G47" i="19" s="1"/>
  <c r="G45" i="19" s="1"/>
  <c r="H9" i="21"/>
  <c r="I9" i="21"/>
  <c r="H9" i="19"/>
  <c r="I9" i="19"/>
  <c r="H9" i="20"/>
  <c r="I9" i="20"/>
  <c r="I49" i="21"/>
  <c r="I47" i="21" s="1"/>
  <c r="I45" i="21" s="1"/>
  <c r="I49" i="20"/>
  <c r="I47" i="20" s="1"/>
  <c r="I45" i="20" s="1"/>
  <c r="G47" i="20"/>
  <c r="G45" i="20" s="1"/>
  <c r="E85" i="1"/>
  <c r="E84" i="1"/>
  <c r="E83" i="1"/>
  <c r="E82" i="1"/>
  <c r="E81" i="1"/>
  <c r="F74" i="24" l="1"/>
  <c r="E74" i="24"/>
  <c r="D74" i="24"/>
  <c r="E53" i="24"/>
  <c r="D53" i="24"/>
  <c r="F53" i="24"/>
  <c r="G47" i="21"/>
  <c r="G45" i="21" s="1"/>
  <c r="I49" i="19"/>
  <c r="I47" i="19" s="1"/>
  <c r="I45" i="19" s="1"/>
  <c r="E66" i="1"/>
  <c r="G74" i="24" l="1"/>
  <c r="E58" i="24"/>
  <c r="E75" i="24"/>
  <c r="E79" i="24"/>
  <c r="E95" i="24"/>
  <c r="F95" i="24"/>
  <c r="D95" i="24"/>
  <c r="F58" i="24"/>
  <c r="G53" i="24"/>
  <c r="D54" i="24"/>
  <c r="F75" i="24"/>
  <c r="F79" i="24"/>
  <c r="G3" i="1"/>
  <c r="G95" i="24" l="1"/>
  <c r="F96" i="24" s="1"/>
  <c r="F100" i="24"/>
  <c r="E100" i="24"/>
  <c r="F54" i="24"/>
  <c r="G54" i="24" s="1"/>
  <c r="E54" i="24"/>
  <c r="D75" i="24"/>
  <c r="G75" i="24" s="1"/>
  <c r="G81" i="1"/>
  <c r="I81" i="1" s="1"/>
  <c r="G86" i="1"/>
  <c r="I86" i="1" s="1"/>
  <c r="G66" i="1"/>
  <c r="I66" i="1" s="1"/>
  <c r="G61" i="1"/>
  <c r="I61" i="1" s="1"/>
  <c r="G82" i="1"/>
  <c r="I82" i="1" s="1"/>
  <c r="G84" i="1"/>
  <c r="I84" i="1" s="1"/>
  <c r="G53" i="1"/>
  <c r="I53" i="1" s="1"/>
  <c r="G57" i="1"/>
  <c r="I57" i="1" s="1"/>
  <c r="G69" i="1"/>
  <c r="I69" i="1" s="1"/>
  <c r="G72" i="1"/>
  <c r="I72" i="1" s="1"/>
  <c r="G71" i="1"/>
  <c r="I71" i="1" s="1"/>
  <c r="G87" i="1"/>
  <c r="I87" i="1" s="1"/>
  <c r="G51" i="1"/>
  <c r="I51" i="1" s="1"/>
  <c r="G60" i="1"/>
  <c r="I60" i="1" s="1"/>
  <c r="G49" i="1"/>
  <c r="I49" i="1" s="1"/>
  <c r="G73" i="1"/>
  <c r="I73" i="1" s="1"/>
  <c r="G50" i="1"/>
  <c r="I50" i="1" s="1"/>
  <c r="G52" i="1"/>
  <c r="I52" i="1" s="1"/>
  <c r="G70" i="1"/>
  <c r="I70" i="1" s="1"/>
  <c r="G65" i="1"/>
  <c r="I65" i="1" s="1"/>
  <c r="G74" i="1"/>
  <c r="I74" i="1" s="1"/>
  <c r="G68" i="1"/>
  <c r="I68" i="1" s="1"/>
  <c r="G62" i="1"/>
  <c r="I62" i="1" s="1"/>
  <c r="G56" i="1"/>
  <c r="I56" i="1" s="1"/>
  <c r="G59" i="1"/>
  <c r="I59" i="1" s="1"/>
  <c r="G58" i="1"/>
  <c r="I58" i="1" s="1"/>
  <c r="G64" i="1"/>
  <c r="I64" i="1" s="1"/>
  <c r="G67" i="1"/>
  <c r="I67" i="1" s="1"/>
  <c r="G89" i="1"/>
  <c r="I89" i="1" s="1"/>
  <c r="G88" i="1"/>
  <c r="I88" i="1" s="1"/>
  <c r="G85" i="1"/>
  <c r="I85" i="1" s="1"/>
  <c r="G77" i="1"/>
  <c r="I77" i="1" s="1"/>
  <c r="G83" i="1"/>
  <c r="I83" i="1" s="1"/>
  <c r="G36" i="1"/>
  <c r="I36" i="1" s="1"/>
  <c r="G44" i="1"/>
  <c r="I44" i="1" s="1"/>
  <c r="G28" i="1"/>
  <c r="I28" i="1" s="1"/>
  <c r="G20" i="1"/>
  <c r="I20" i="1" s="1"/>
  <c r="G42" i="1"/>
  <c r="I42" i="1" s="1"/>
  <c r="G32" i="1"/>
  <c r="I32" i="1" s="1"/>
  <c r="G37" i="1"/>
  <c r="I37" i="1" s="1"/>
  <c r="G35" i="1"/>
  <c r="I35" i="1" s="1"/>
  <c r="G21" i="1"/>
  <c r="I21" i="1" s="1"/>
  <c r="G9" i="1"/>
  <c r="G38" i="1"/>
  <c r="I38" i="1" s="1"/>
  <c r="G22" i="1"/>
  <c r="I22" i="1" s="1"/>
  <c r="G16" i="1"/>
  <c r="I16" i="1" s="1"/>
  <c r="G19" i="1"/>
  <c r="I19" i="1" s="1"/>
  <c r="G39" i="1"/>
  <c r="I39" i="1" s="1"/>
  <c r="G23" i="1"/>
  <c r="I23" i="1" s="1"/>
  <c r="G41" i="1"/>
  <c r="I41" i="1" s="1"/>
  <c r="G17" i="1"/>
  <c r="I17" i="1" s="1"/>
  <c r="G31" i="1"/>
  <c r="I31" i="1" s="1"/>
  <c r="G43" i="1"/>
  <c r="I43" i="1" s="1"/>
  <c r="G40" i="1"/>
  <c r="I40" i="1" s="1"/>
  <c r="G29" i="1"/>
  <c r="I29" i="1" s="1"/>
  <c r="G24" i="1"/>
  <c r="I24" i="1" s="1"/>
  <c r="G30" i="1"/>
  <c r="I30" i="1" s="1"/>
  <c r="G25" i="1"/>
  <c r="I25" i="1" s="1"/>
  <c r="G18" i="1"/>
  <c r="I18" i="1" s="1"/>
  <c r="G10" i="1"/>
  <c r="I10" i="1" s="1"/>
  <c r="D96" i="24" l="1"/>
  <c r="E96" i="24"/>
  <c r="I55" i="1"/>
  <c r="G55" i="1"/>
  <c r="I27" i="1"/>
  <c r="G27" i="1"/>
  <c r="I76" i="1"/>
  <c r="G76" i="1"/>
  <c r="I34" i="1"/>
  <c r="G34" i="1"/>
  <c r="G79" i="1"/>
  <c r="I79" i="1"/>
  <c r="G96" i="24" l="1"/>
  <c r="F13" i="24"/>
  <c r="E13" i="24"/>
  <c r="G17" i="2"/>
  <c r="G26" i="2"/>
  <c r="G25" i="2"/>
  <c r="G24" i="2"/>
  <c r="G23" i="2"/>
  <c r="G22" i="2"/>
  <c r="G21" i="2"/>
  <c r="G18" i="2"/>
  <c r="G15" i="2"/>
  <c r="G34" i="2"/>
  <c r="G35" i="2" s="1"/>
  <c r="G30" i="2"/>
  <c r="G31" i="2" s="1"/>
  <c r="G20" i="2"/>
  <c r="G19" i="2"/>
  <c r="G16" i="2"/>
  <c r="G13" i="24" l="1"/>
  <c r="E14" i="24" s="1"/>
  <c r="G27" i="2"/>
  <c r="G37" i="2" s="1"/>
  <c r="F14" i="24" l="1"/>
  <c r="G14" i="24" s="1"/>
  <c r="F10" i="20"/>
  <c r="F10" i="19"/>
  <c r="H10" i="21"/>
  <c r="H11" i="1"/>
  <c r="H10" i="19" l="1"/>
  <c r="G10" i="19"/>
  <c r="H10" i="20"/>
  <c r="G10" i="20"/>
  <c r="I10" i="20" s="1"/>
  <c r="H7" i="1"/>
  <c r="H91" i="1" s="1"/>
  <c r="G11" i="1"/>
  <c r="I11" i="1" s="1"/>
  <c r="H7" i="21"/>
  <c r="H90" i="21" s="1"/>
  <c r="C11" i="23" s="1"/>
  <c r="I10" i="21"/>
  <c r="H7" i="19"/>
  <c r="H90" i="19" s="1"/>
  <c r="C15" i="23" s="1"/>
  <c r="I10" i="19"/>
  <c r="H7" i="20"/>
  <c r="H90" i="20" s="1"/>
  <c r="C13" i="23" s="1"/>
  <c r="I48" i="1"/>
  <c r="I46" i="1" s="1"/>
  <c r="D32" i="24" l="1"/>
  <c r="F32" i="24"/>
  <c r="E32" i="24"/>
  <c r="F11" i="24"/>
  <c r="E11" i="24"/>
  <c r="D11" i="24"/>
  <c r="I7" i="20"/>
  <c r="G7" i="20"/>
  <c r="I7" i="19"/>
  <c r="G7" i="19"/>
  <c r="I7" i="1"/>
  <c r="G7" i="1"/>
  <c r="I7" i="21"/>
  <c r="G7" i="21"/>
  <c r="C9" i="23"/>
  <c r="C17" i="23" s="1"/>
  <c r="B9" i="18" s="1"/>
  <c r="G15" i="1"/>
  <c r="G13" i="1" s="1"/>
  <c r="I15" i="1"/>
  <c r="I13" i="1" s="1"/>
  <c r="G48" i="1"/>
  <c r="G46" i="1" s="1"/>
  <c r="D30" i="24" l="1"/>
  <c r="E30" i="24"/>
  <c r="D28" i="24"/>
  <c r="C28" i="24"/>
  <c r="G32" i="24"/>
  <c r="E33" i="24"/>
  <c r="E37" i="24"/>
  <c r="I90" i="19"/>
  <c r="D15" i="23" s="1"/>
  <c r="C91" i="24"/>
  <c r="D91" i="24"/>
  <c r="F37" i="24"/>
  <c r="I90" i="20"/>
  <c r="D13" i="23" s="1"/>
  <c r="D70" i="24"/>
  <c r="C70" i="24"/>
  <c r="I90" i="21"/>
  <c r="D11" i="23" s="1"/>
  <c r="D49" i="24"/>
  <c r="C49" i="24"/>
  <c r="D33" i="24"/>
  <c r="G11" i="24"/>
  <c r="E12" i="24" s="1"/>
  <c r="F16" i="24"/>
  <c r="E9" i="24"/>
  <c r="E16" i="24" s="1"/>
  <c r="D9" i="24"/>
  <c r="D7" i="24"/>
  <c r="C7" i="24"/>
  <c r="I91" i="1"/>
  <c r="D9" i="23" s="1"/>
  <c r="D17" i="23" l="1"/>
  <c r="B34" i="18" s="1"/>
  <c r="G30" i="24"/>
  <c r="E31" i="24" s="1"/>
  <c r="D31" i="24"/>
  <c r="D100" i="24"/>
  <c r="G49" i="24"/>
  <c r="D50" i="24" s="1"/>
  <c r="D58" i="24"/>
  <c r="G91" i="24"/>
  <c r="C100" i="24"/>
  <c r="F33" i="24"/>
  <c r="C37" i="24"/>
  <c r="G28" i="24"/>
  <c r="C29" i="24" s="1"/>
  <c r="G29" i="24" s="1"/>
  <c r="C58" i="24"/>
  <c r="C50" i="24"/>
  <c r="C79" i="24"/>
  <c r="C71" i="24"/>
  <c r="G70" i="24"/>
  <c r="D71" i="24"/>
  <c r="D79" i="24"/>
  <c r="G33" i="24"/>
  <c r="D29" i="24"/>
  <c r="D37" i="24"/>
  <c r="F12" i="24"/>
  <c r="D12" i="24"/>
  <c r="G9" i="24"/>
  <c r="E10" i="24" s="1"/>
  <c r="D16" i="24"/>
  <c r="C16" i="24"/>
  <c r="G7" i="24"/>
  <c r="G31" i="24" l="1"/>
  <c r="G50" i="24"/>
  <c r="D39" i="24"/>
  <c r="C39" i="24"/>
  <c r="E39" i="24"/>
  <c r="F39" i="24"/>
  <c r="G58" i="24"/>
  <c r="C59" i="24" s="1"/>
  <c r="C60" i="24"/>
  <c r="D60" i="24"/>
  <c r="F60" i="24"/>
  <c r="E60" i="24"/>
  <c r="G79" i="24"/>
  <c r="C82" i="24" s="1"/>
  <c r="G100" i="24"/>
  <c r="H91" i="24" s="1"/>
  <c r="G37" i="24"/>
  <c r="G71" i="24"/>
  <c r="C92" i="24"/>
  <c r="C81" i="24"/>
  <c r="F81" i="24"/>
  <c r="D81" i="24"/>
  <c r="E81" i="24"/>
  <c r="C102" i="24"/>
  <c r="E102" i="24"/>
  <c r="F102" i="24"/>
  <c r="D102" i="24"/>
  <c r="D92" i="24"/>
  <c r="G12" i="24"/>
  <c r="G16" i="24"/>
  <c r="D17" i="24" s="1"/>
  <c r="D10" i="24"/>
  <c r="G10" i="24" s="1"/>
  <c r="D8" i="24"/>
  <c r="C8" i="24"/>
  <c r="C18" i="24"/>
  <c r="E18" i="24"/>
  <c r="D18" i="24"/>
  <c r="F18" i="24"/>
  <c r="C61" i="24" l="1"/>
  <c r="C80" i="24"/>
  <c r="G101" i="24"/>
  <c r="H93" i="24"/>
  <c r="H97" i="24"/>
  <c r="E101" i="24"/>
  <c r="F101" i="24"/>
  <c r="H95" i="24"/>
  <c r="H30" i="24"/>
  <c r="H34" i="24"/>
  <c r="G38" i="24"/>
  <c r="F38" i="24"/>
  <c r="H32" i="24"/>
  <c r="E38" i="24"/>
  <c r="C103" i="24"/>
  <c r="D101" i="24"/>
  <c r="C40" i="24"/>
  <c r="H28" i="24"/>
  <c r="C101" i="24"/>
  <c r="H76" i="24"/>
  <c r="G80" i="24"/>
  <c r="H72" i="24"/>
  <c r="F80" i="24"/>
  <c r="H74" i="24"/>
  <c r="E80" i="24"/>
  <c r="C38" i="24"/>
  <c r="D38" i="24"/>
  <c r="H55" i="24"/>
  <c r="H51" i="24"/>
  <c r="G59" i="24"/>
  <c r="E59" i="24"/>
  <c r="H53" i="24"/>
  <c r="F59" i="24"/>
  <c r="G92" i="24"/>
  <c r="H70" i="24"/>
  <c r="D80" i="24"/>
  <c r="H49" i="24"/>
  <c r="D59" i="24"/>
  <c r="D61" i="24" s="1"/>
  <c r="G17" i="24"/>
  <c r="C17" i="24"/>
  <c r="D19" i="24" s="1"/>
  <c r="H11" i="24"/>
  <c r="E17" i="24"/>
  <c r="H7" i="24"/>
  <c r="C19" i="24"/>
  <c r="H9" i="24"/>
  <c r="H13" i="24"/>
  <c r="F17" i="24"/>
  <c r="G8" i="24"/>
  <c r="D103" i="24" l="1"/>
  <c r="E103" i="24"/>
  <c r="F103" i="24"/>
  <c r="F40" i="24"/>
  <c r="E40" i="24"/>
  <c r="D40" i="24"/>
  <c r="E82" i="24"/>
  <c r="F82" i="24"/>
  <c r="D82" i="24"/>
  <c r="F61" i="24"/>
  <c r="E61" i="24"/>
  <c r="E19" i="24"/>
  <c r="F19" i="24"/>
</calcChain>
</file>

<file path=xl/sharedStrings.xml><?xml version="1.0" encoding="utf-8"?>
<sst xmlns="http://schemas.openxmlformats.org/spreadsheetml/2006/main" count="1778" uniqueCount="452">
  <si>
    <t>ITEM</t>
  </si>
  <si>
    <t>SINAPI / ORSE</t>
  </si>
  <si>
    <t>DESCRIÇÃO DOS SERVIÇOS</t>
  </si>
  <si>
    <t>UNIDADE</t>
  </si>
  <si>
    <t>QUANTIDADE</t>
  </si>
  <si>
    <t>P. UNITÁRIO</t>
  </si>
  <si>
    <t>TOTAL</t>
  </si>
  <si>
    <t>1.0</t>
  </si>
  <si>
    <t>1.1</t>
  </si>
  <si>
    <t>1.2</t>
  </si>
  <si>
    <t>1.3</t>
  </si>
  <si>
    <t>m²</t>
  </si>
  <si>
    <t>SERVIÇOS PRELIMINARES</t>
  </si>
  <si>
    <t>Comp. 16</t>
  </si>
  <si>
    <t>Extensão de Rede elétrica de baixa tensão, monofásica - Fornecimento, montagem e implantação</t>
  </si>
  <si>
    <t>m</t>
  </si>
  <si>
    <t>Comp. 01</t>
  </si>
  <si>
    <t>Perfuração e Instalação de Poço Tubular Profundo</t>
  </si>
  <si>
    <t>und</t>
  </si>
  <si>
    <t>2.0</t>
  </si>
  <si>
    <t>CERCA DE PROTEÇÃO DO POÇO E CASINHA DO MEDIDOR</t>
  </si>
  <si>
    <t>2.1</t>
  </si>
  <si>
    <t>Cerca de Proteção do Poço</t>
  </si>
  <si>
    <t>2.2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</si>
  <si>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</si>
  <si>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</si>
  <si>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</si>
  <si>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</si>
  <si>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</si>
  <si>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</si>
  <si>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</si>
  <si>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</si>
  <si>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</si>
  <si>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</si>
  <si>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050/ORSE</t>
  </si>
  <si>
    <t>Locação de construção de edificação até 200m², inclusive execução de gabarito de madeira</t>
  </si>
  <si>
    <t>Escavação manual de valas com profundidade menor ou igual a 1,30m</t>
  </si>
  <si>
    <t>m³</t>
  </si>
  <si>
    <t>Alvenaria de vedação de blocos cerâmicos furados na horizontal de 9X19X19CM (espessura 9cm) de paredes com área líquida maior ou igual a 6m² sem vãos e argamassa de assentamento com preparo em betoneira</t>
  </si>
  <si>
    <t>Chapisco aplicado em alvenarias e estruturas de concreto internas, com colher de pedreiro, argamassa traço 1:3 com preparo em betoneira 400 L</t>
  </si>
  <si>
    <t>Massa única, para recebimento de pintura, em argamassa traço 1:2:8, preparo mecânico com betoneira 400L, aplicada manualmente em faces internas de paredes, espessura de 20mm, com execução de taliscas</t>
  </si>
  <si>
    <t>Cerca com mourões de concreto reto 10x10x200cm, total 12 mourões, com escoras em concreto reto 10x10x200cm nos 4 cantos, com 08 fios de arame farpado</t>
  </si>
  <si>
    <t>Comp. 02</t>
  </si>
  <si>
    <t>Portão de ferro com vara de 1/2", com requadro</t>
  </si>
  <si>
    <t>Proteção de Boca do Poço</t>
  </si>
  <si>
    <t>2.2.1</t>
  </si>
  <si>
    <t>2.2.2</t>
  </si>
  <si>
    <t>2.2.3</t>
  </si>
  <si>
    <t>2.2.4</t>
  </si>
  <si>
    <t>2.2.5</t>
  </si>
  <si>
    <t>6457 / ORSE</t>
  </si>
  <si>
    <t>Concreto armado para tampa de proteção do poço: 15 Mpa, fabricado na obra, adensado e lançado, com formas planas em compensado resinado 12mm (05 usos)</t>
  </si>
  <si>
    <t>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</si>
  <si>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</si>
  <si>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</si>
  <si>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</si>
  <si>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</si>
  <si>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</si>
  <si>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</si>
  <si>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</si>
  <si>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</si>
  <si>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</si>
  <si>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</si>
  <si>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Casinha do Medidor</t>
  </si>
  <si>
    <t>Execução de passeio (calçada) ou piso de concreto com concreto moldado in loco, feito em obra, acabamento convencional, espessura 8 cm, armado</t>
  </si>
  <si>
    <t>3.0</t>
  </si>
  <si>
    <t>3.1</t>
  </si>
  <si>
    <t>3.1.1</t>
  </si>
  <si>
    <t>3.1.2</t>
  </si>
  <si>
    <t>3.1.3</t>
  </si>
  <si>
    <t>3.1.4</t>
  </si>
  <si>
    <t>3.1.5</t>
  </si>
  <si>
    <t>CERCA DE PROTEÇÃO, RESERVATÓRIO E CAIXAS DE FIBRA</t>
  </si>
  <si>
    <t>3.2</t>
  </si>
  <si>
    <t>Reservatório - Base, Caixa de Fibra e Chafariz</t>
  </si>
  <si>
    <t>3.2.1</t>
  </si>
  <si>
    <t>3.2.2</t>
  </si>
  <si>
    <t>3.2.3</t>
  </si>
  <si>
    <t>3.2.4</t>
  </si>
  <si>
    <t>3.2.5</t>
  </si>
  <si>
    <t>3.2.6</t>
  </si>
  <si>
    <t>3.2.7</t>
  </si>
  <si>
    <t>1442 / ORSE</t>
  </si>
  <si>
    <t>Caixa d'água em fibra de vidro, instalada, sem estrutura de suporte, cap. 5.000 litros</t>
  </si>
  <si>
    <t>3.2.8</t>
  </si>
  <si>
    <t>Chafariz</t>
  </si>
  <si>
    <t>3.2.8.1</t>
  </si>
  <si>
    <t>3.2.8.2</t>
  </si>
  <si>
    <t>3.2.8.3</t>
  </si>
  <si>
    <t>3.2.8.4</t>
  </si>
  <si>
    <t>3.2.8.5</t>
  </si>
  <si>
    <t>3.2.8.6</t>
  </si>
  <si>
    <t>3.2.8.7</t>
  </si>
  <si>
    <t>3.2.8.8</t>
  </si>
  <si>
    <t>3.2.8.9</t>
  </si>
  <si>
    <t>3.2.8.10</t>
  </si>
  <si>
    <t>3.2.8.11</t>
  </si>
  <si>
    <t>Tubo PVC PBA JEI CL 12, DN 50mm, para rede de água (NBR 5647)</t>
  </si>
  <si>
    <t>Tubo, PVC, soldável, DN 20mm, instalado em ramal ou subramal de água - fornecimento e instalação</t>
  </si>
  <si>
    <t>0825 / Insumos</t>
  </si>
  <si>
    <t>Bucha de redução, PVC, soldável, longa, DN 50x20mm, para água fria</t>
  </si>
  <si>
    <t>Torneira plástica 1/2" para tanque - fornecimento e instalação</t>
  </si>
  <si>
    <t>Registro de esfera, PVC, soldável, DN 25 mm, fornecimento e instalação</t>
  </si>
  <si>
    <t>3.3</t>
  </si>
  <si>
    <t>Caixa p/ Clorador</t>
  </si>
  <si>
    <t>3.3.1</t>
  </si>
  <si>
    <t>4.0</t>
  </si>
  <si>
    <t>REDE ADUTORA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</si>
  <si>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</si>
  <si>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</si>
  <si>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</si>
  <si>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</si>
  <si>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</si>
  <si>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</si>
  <si>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</si>
  <si>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</si>
  <si>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</si>
  <si>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Locação e nivelamento de rede de água</t>
  </si>
  <si>
    <t>Escavação mecanizada de vala com profundidade até 1,5 m (média entre montante e jusante/uma composição por trecho) com retroescavadeira (capacidade da caçamba da retro: 0,26 m³ / potência: 88 HP), largura menor que 0,8 m, em solo de 1A categoria, locais com baixo nível de interferência. (0,50m x 0,55m)</t>
  </si>
  <si>
    <t>Escavação mecânica de vala em material de 2A cat., até 2,0 m de profundidade com utilização de escavadeira hidráulica. (0,50m x 0,25m)</t>
  </si>
  <si>
    <t>3212 / ORSE</t>
  </si>
  <si>
    <t>Reaterro mecanizado de vala com retroescavadeira (capaci - dade da caçamba da retro: 0,26 m³ / potência: 88 HP), largura até 0,8 m, profundidade até 1,5 m, com solo (s/ substituição) de 1ª categoria em locais com baixo nível de interferência</t>
  </si>
  <si>
    <t>Tubo PVC, soldável, DN 25mm, instalado em prumada de água - fornecimento e instalação</t>
  </si>
  <si>
    <t>1956 / Insumos</t>
  </si>
  <si>
    <t>Curva de PVC 90 º, soldável, 25 mm, para água fria predial (NBR 5648)</t>
  </si>
  <si>
    <t>6016 / Insumos</t>
  </si>
  <si>
    <t>Registro gaveta bruto em latão forjado, bitola 3/4" (REF 1509)</t>
  </si>
  <si>
    <t>10412 / Insumos</t>
  </si>
  <si>
    <t>Válvula de retenção horizontal, de bronze (PN-25), 1", 400 PSI, tampa de porca de união, extremidades com rosca</t>
  </si>
  <si>
    <t>TOTAL GERAL R$</t>
  </si>
  <si>
    <t>Pintura com tinta protetora, acabamento fosco esmalte sobre superfície metálica, 2 demãos</t>
  </si>
  <si>
    <t>Colchão de areia (e = 10cm)</t>
  </si>
  <si>
    <t>36084 / Insumos</t>
  </si>
  <si>
    <t>Item</t>
  </si>
  <si>
    <t>SINAPI/ORSE</t>
  </si>
  <si>
    <t>Descrição dos Serviços</t>
  </si>
  <si>
    <t>Unidade</t>
  </si>
  <si>
    <t>Quantidade</t>
  </si>
  <si>
    <t>Preço (R$)</t>
  </si>
  <si>
    <t>Unitário</t>
  </si>
  <si>
    <t>Total</t>
  </si>
  <si>
    <t>Perfuração de Poço Tubular em Cristalino</t>
  </si>
  <si>
    <t>Locação e relatório técnico do poço</t>
  </si>
  <si>
    <t>Limpeza manual geral, com remoção de cobertura vegetal</t>
  </si>
  <si>
    <t>Comp. 05</t>
  </si>
  <si>
    <t>Montagem, instalação e desinstalação de perfuratriz e compressor, equipamentos e acessórios</t>
  </si>
  <si>
    <t>1.4</t>
  </si>
  <si>
    <t>Comp. 06</t>
  </si>
  <si>
    <t>Perfuração em solo ou rocha decomposta em 8" com perfuratriz rotopneumática</t>
  </si>
  <si>
    <t>1.5</t>
  </si>
  <si>
    <t>9850 / Insumos</t>
  </si>
  <si>
    <t>Tubo PVC de revestimento geomecânico nervurado reforçado DN 150mm, comprimento 2 m - Fornecimento</t>
  </si>
  <si>
    <t>1.6</t>
  </si>
  <si>
    <t>Argamassa para cimentação, traço 1:3 (cimento e areia), preparo manual - incluso aditivo impermeabilizante</t>
  </si>
  <si>
    <t>1.7</t>
  </si>
  <si>
    <t>Comp. 07</t>
  </si>
  <si>
    <t>Perfuração em rocha cristalina sã em 6" com perfuratriz rotopneumática</t>
  </si>
  <si>
    <t>1.8</t>
  </si>
  <si>
    <t>Comp. 08</t>
  </si>
  <si>
    <t>Realização do desenvolvimento e limpeza do poço, com perfuratriz e compressor de ar pelo método "Air-Lift"</t>
  </si>
  <si>
    <t>h</t>
  </si>
  <si>
    <t>1.9</t>
  </si>
  <si>
    <t>Comp. 09</t>
  </si>
  <si>
    <t>Fornecimento e instalação de tampa de poço 6"</t>
  </si>
  <si>
    <t>1.10</t>
  </si>
  <si>
    <t>Comp. 10</t>
  </si>
  <si>
    <t>Realização do desinfecção do poço, incluindo material de limpeza, instalação e desinstalação do compressor, combustível e operador</t>
  </si>
  <si>
    <t>1.11</t>
  </si>
  <si>
    <t>Comp. 11</t>
  </si>
  <si>
    <t>Realização do teste de vazão do poço, incluindo instalação e desinstalação do compressor, combustível e operador</t>
  </si>
  <si>
    <t>1.12</t>
  </si>
  <si>
    <t>Comp. 12</t>
  </si>
  <si>
    <t>Realização de análise físico-química de água, incluindo coleta da amostra da água</t>
  </si>
  <si>
    <t xml:space="preserve">Subtotal (R$): </t>
  </si>
  <si>
    <t>Montagem e Instalação do poço</t>
  </si>
  <si>
    <t>Comp. 13</t>
  </si>
  <si>
    <t>Implantação da Rede Elétrica em Baixa Tensão p/ Alimentação do Poço</t>
  </si>
  <si>
    <t>Comp. 15</t>
  </si>
  <si>
    <t>Rede elétrica de baixa tensão, com entrada de energia e poste auxiliar - Fornecimento, montagem e implantação</t>
  </si>
  <si>
    <t xml:space="preserve">Total dos Serviços (R$): </t>
  </si>
  <si>
    <t>Alvenaria em tijolo cerâmico maciço (5x10x20cm), 1 vez, esp = 10cm, assentado com argamassa traço 1:2:8 (cimento, cal e areia)</t>
  </si>
  <si>
    <t>CERCA COM MOURÕES DE CONCRETO RETO 10x10x200cm, TOTAL 12 MOURÕES, COM ESCORAS EM CONCRETO RETO 10x10x200cm NOS 4 CANTOS, COM 08 FIOS DE ARAME</t>
  </si>
  <si>
    <t>Arame farpado galvanizado 14 BWG, Classe 250</t>
  </si>
  <si>
    <t>Arame galvanizado 12 BWG, 2,76mm (0,048 kg/m)</t>
  </si>
  <si>
    <t>kg</t>
  </si>
  <si>
    <t>Pedreiro com encargos complemetares</t>
  </si>
  <si>
    <t>Servente com encargos complementares</t>
  </si>
  <si>
    <t>TOTAL DESTA COMPOSIÇÃO R$</t>
  </si>
  <si>
    <t>Mourão de concreto reto 10x10x230cm</t>
  </si>
  <si>
    <t>LOCAÇÃO E RELATÓRIO TÉCNICO DO POÇO</t>
  </si>
  <si>
    <t>(Geólogo / Eng. Minas) Engenheiro Civil senior com encargos complementares</t>
  </si>
  <si>
    <t>Ajudante especializado em sondagem</t>
  </si>
  <si>
    <t>CHP</t>
  </si>
  <si>
    <t>l</t>
  </si>
  <si>
    <t>Motorista de veículo leve</t>
  </si>
  <si>
    <t>Caminhonete cabine simples com motor 1.6 Flex, câmbio manual, potência 101/104 cv, 2 portas</t>
  </si>
  <si>
    <t>Gasolina comum</t>
  </si>
  <si>
    <t>4222 / Insumos</t>
  </si>
  <si>
    <t>Locação de Perfuratriz pneumática de peso médio, * 24 * KG, para rocha</t>
  </si>
  <si>
    <t>4780 / Insumos</t>
  </si>
  <si>
    <t>Compressor de ar rebocável, vazão 250 PCM, pressaõ de trabalho 102 PSI , motor a diesel potência 81 C</t>
  </si>
  <si>
    <t>Técnico de sondagem com encargos complementares</t>
  </si>
  <si>
    <t>Operador de compressor ou compressorista com encargos complementares</t>
  </si>
  <si>
    <t>4227 / Insumos</t>
  </si>
  <si>
    <t>Oleo lubrificante para motores de equipamentos pesados (caminhões, tratores, retros e etc)</t>
  </si>
  <si>
    <t>4221 / Insumos</t>
  </si>
  <si>
    <t>Oleo diesel combustível comum</t>
  </si>
  <si>
    <t>4229 / Insumos</t>
  </si>
  <si>
    <t>Graxa lubrificante</t>
  </si>
  <si>
    <t>Perfuração em solo ou rocha decomposta em 6" com perfuratriz rotopneumática</t>
  </si>
  <si>
    <t>Realização do desenvolvimento e limpeza do poço, com perfuratriz e compressor de ar pelo
método "Air-Lift"</t>
  </si>
  <si>
    <t>Tubo PVC de revestimento geomecânico nervurado reforçado DN 150mm, em forma de CAP - Fornecimento</t>
  </si>
  <si>
    <t>Encanador ou bombeiro hidráulico com encargos complementares</t>
  </si>
  <si>
    <t>Auxiliar de encanador ou bombeiro hidráulico com encargos complementares</t>
  </si>
  <si>
    <t>Realização do desinfecção do poço, incluindo material de limpeza, instalação e desinstalação do
compressor, combustível e operador</t>
  </si>
  <si>
    <t>10561 / Insumos</t>
  </si>
  <si>
    <t>Hexametafosfato de sódio</t>
  </si>
  <si>
    <t>k</t>
  </si>
  <si>
    <t>Realização do teste de vazão do poço, incluindo instalação e desinstalação do compressor,
combustível e operador</t>
  </si>
  <si>
    <t>Análise físico-química da água</t>
  </si>
  <si>
    <t>Cotação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</si>
  <si>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</si>
  <si>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</si>
  <si>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</si>
  <si>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</si>
  <si>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</si>
  <si>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</si>
  <si>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</si>
  <si>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</si>
  <si>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</si>
  <si>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</si>
  <si>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</si>
  <si>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10587 / Insumos</t>
  </si>
  <si>
    <t>Bomba submersa para poços tubulares profundos diâmetro de 4", elétrica, monofásica, potência 0,49 HP, 13 estágios, bocal de descarga diâmetro de 1.1/2" , HM/Q = 18 m / 1,90 m³/h A 85 m / 0,60 m³/h</t>
  </si>
  <si>
    <t>Quadro de comando para eletrobomba de poço artesiano</t>
  </si>
  <si>
    <t>11676/Insumos</t>
  </si>
  <si>
    <t>Registro de esfera, PVC, com volante, VS, soldável, DN 40 mm, com corpo dividido</t>
  </si>
  <si>
    <t>1789/Insumos</t>
  </si>
  <si>
    <t>Curva 90º de ferro galvanizado, com rosca BSP fêmea, de 1. 1/2"</t>
  </si>
  <si>
    <t>1941/Insumos</t>
  </si>
  <si>
    <t>Curva PVC 90º, roscável, 1.1/2", água fria predial</t>
  </si>
  <si>
    <t>3939/Insumos</t>
  </si>
  <si>
    <t>Luva de ferro galvanizado, com rosca BSP, DE 1.1/2"</t>
  </si>
  <si>
    <t>3878/Insumos</t>
  </si>
  <si>
    <t>Luva PVC, roscável, 1.1/2", água fria predial</t>
  </si>
  <si>
    <t>9862/Insumos</t>
  </si>
  <si>
    <t>0110/Insumos</t>
  </si>
  <si>
    <t>Adaptador PVC soldável curto com bolsa e rosca, 40 mm X 1.1/2", para água fria</t>
  </si>
  <si>
    <t>10409/Insumos</t>
  </si>
  <si>
    <t>Válvula de retenção horizontal de bronze (PN-25), 1.1/2", 400 PSI, tampa de porca de união, extremidades com rosca</t>
  </si>
  <si>
    <t>10742/Insumos</t>
  </si>
  <si>
    <t>Talha manual de corrente, capacidade de 2 T com elevação  de 3 m</t>
  </si>
  <si>
    <t>2674/Insumos</t>
  </si>
  <si>
    <t>Eletroduto de PVC rígido roscável de 3/4 ", sem luva</t>
  </si>
  <si>
    <t>Eletrobomba submersa até 1 CV e peças, profundidade manométrica de até 50 metros, inclusive
1.0 rede elétrica desde o quadro de comando até a bomba - Fornecimento, montagem e instalação</t>
  </si>
  <si>
    <t>1879/Insumos</t>
  </si>
  <si>
    <t>Curva 90º, longa, de PVC rígido roscável, de 3/4", para eletroduto</t>
  </si>
  <si>
    <t>3919/Insumos</t>
  </si>
  <si>
    <t>Curva 180º, de PVC rígido roscável, de 3/4", para eletroduto</t>
  </si>
  <si>
    <t>1891/Insumos</t>
  </si>
  <si>
    <t>Luva PVC roscável, de 3/4", para eletroduto</t>
  </si>
  <si>
    <t>0404/Insumos</t>
  </si>
  <si>
    <t>Fita isolante de borracha autofusão, uso até 69 KV (alta tensão)</t>
  </si>
  <si>
    <t>3146/Insumos</t>
  </si>
  <si>
    <t>Fita veda rosca em rolos de 18 mm X 10 m (L X C)</t>
  </si>
  <si>
    <t>3380/Insumos</t>
  </si>
  <si>
    <t>Haste de aterramento em aço com 3,00 m de comprimento e DN = 5/8", revestida com baixa camada de cobre, com conector tipo grampo</t>
  </si>
  <si>
    <t>34618/Insumos</t>
  </si>
  <si>
    <t>Cabo flexível PVC 750 V, 3 condutores de 1,5 mm²</t>
  </si>
  <si>
    <t>Eletricista com encargos complementares</t>
  </si>
  <si>
    <t>Ajudante especializado (de eletricista) com encargos complementares</t>
  </si>
  <si>
    <t>Rede elétrica de baixa tensão, com entrada de energia e poste auxiliar - Fornecimento, montagem
e implantação</t>
  </si>
  <si>
    <t>0425 / Insumos</t>
  </si>
  <si>
    <t>Eletroduto rígido roscável, PVC, DN 25mm (3/4"), para circuitos terminais, instalado em forro - fornecimento e</t>
  </si>
  <si>
    <t>Eletroduto rígido roscável, PVC, DN 32mm (1"), para circuitos terminais, instalado em forro - fornecimento e</t>
  </si>
  <si>
    <t>Curva 90º para eletroduto rígido roscável, PVC, DN 32mm (1"), para circuitos terminais, instalado em forro - fornecimento e instalação</t>
  </si>
  <si>
    <t>Luva para eletroduto rígido roscável, PVC, DN 32mm (1"), para circuitos terminais, instalado em forro - fornecimento e</t>
  </si>
  <si>
    <t>Grampo metálico tipo olhal para haste de aterramento de 5/8'', condutor de 10 a 50 mm²</t>
  </si>
  <si>
    <t>Isolador de porcelana, tipo roldana, dimensões de 72x72 mm, para uso em baixa tensão</t>
  </si>
  <si>
    <t>3398 / Insumos</t>
  </si>
  <si>
    <t>5044 / Insumos</t>
  </si>
  <si>
    <t>Poste de concreto circular, 200 kg, H = 9 m (NBR 8451)</t>
  </si>
  <si>
    <t>Cabo de cobre flexível isolado, 6 mm², anti-chama 0,6/1,0 KV, para circuitos terminais - fornecimento e instalação</t>
  </si>
  <si>
    <t>Disjuntor tripolar tipo DIN, corrente nominal de 40A - fornecimento e instalação</t>
  </si>
  <si>
    <t>3380 / Insumos</t>
  </si>
  <si>
    <t>0862 / Insumos</t>
  </si>
  <si>
    <t>Cabo de cobre nu 10 mm² meio duro</t>
  </si>
  <si>
    <t>Eletroduto flexível corrugado, PVC, DN 25 mm (3/4"), para circuitos terminais, instalado em laje - fornecimento e instalação</t>
  </si>
  <si>
    <t>Tomada baixa de embutir (1 módulo), 2P+T 20 A, incluindo suporte e placa -fornecimento e instalação</t>
  </si>
  <si>
    <t>Caixa para medidor monofásico em policarbonato, para 1 disjuntor (Padrão da concessionária)</t>
  </si>
  <si>
    <t>Caixa de passagem metálica de sobrepor com tampa parafusada, dimensões 60cm x 60cm x 20cm</t>
  </si>
  <si>
    <t>39775 / Insumos</t>
  </si>
  <si>
    <t>Terminal aéreo em aço galvanizado 3/8" x 50cm, com fixação horizontal</t>
  </si>
  <si>
    <t>08795/ORSE</t>
  </si>
  <si>
    <t>Guindauto hidráulico, capacidade máxima de carga 6200 KG, momento máximo de carga 11,7 TM, alcance máximo horizontal 9,70 m, inclusive caminhão toco PBT 16.000 KG, potência de 189 CV</t>
  </si>
  <si>
    <t>Motorista operador de munk com encargos complementares</t>
  </si>
  <si>
    <t>Ajudante especializado (de operador de munk) com encargos complementares</t>
  </si>
  <si>
    <t>Cabo de cobre flexível isolado, 10 mm², anti-chama 450/750 V, para circuitos terminais - fornecimento e instalação</t>
  </si>
  <si>
    <t>OBJETO:</t>
  </si>
  <si>
    <t>LICITAÇÃO</t>
  </si>
  <si>
    <t>DADOS FÍSICOS DA OBRA</t>
  </si>
  <si>
    <t>1 CUSTO DIRETO DA OBRA (CD)</t>
  </si>
  <si>
    <t>2. COMPOSIÇÃO DO CUSTO INDIRETO(CI) QUE INCIDE SOBRE OS CUSTOS DIRETOS(CD)</t>
  </si>
  <si>
    <t>DISCRIMINAÇÃO DOS CUSTOS INDIRETOS(CI)</t>
  </si>
  <si>
    <t>Custo de Administração Central - AC</t>
  </si>
  <si>
    <t>Custo de Margem de Incerteza do Empreendimento - MI</t>
  </si>
  <si>
    <t>Custo Financeiro - CF</t>
  </si>
  <si>
    <t>3. COMPOSIÇÃO DO CUSTO INDIRETO(CI) QUE INCIDE SOBRE O PREÇO TOTAL DA OBRA(PT)</t>
  </si>
  <si>
    <t>Custos Tributários - total - T</t>
  </si>
  <si>
    <t>a) Tributos Federais (PIS)</t>
  </si>
  <si>
    <t>b) Tributos Federais (COFINS)</t>
  </si>
  <si>
    <t>c) Tributos Federais (CPRB)</t>
  </si>
  <si>
    <t>d) Tributos Estaduais (N/A)</t>
  </si>
  <si>
    <t>e) Tributos Municipais (ISS)</t>
  </si>
  <si>
    <t>Margem de Contribuição Bruta(Benefício ou Lucro) - MC</t>
  </si>
  <si>
    <t>PORCENTAGEM(%) ADOTADA</t>
  </si>
  <si>
    <t>ONDE:</t>
  </si>
  <si>
    <t>BDI: Taxa de BDI</t>
  </si>
  <si>
    <t>AC: Taxa de administração central</t>
  </si>
  <si>
    <t>MI = Taxa Margem de incerteza(risco) do</t>
  </si>
  <si>
    <t>CF = Taxa referente aos custos financeiros</t>
  </si>
  <si>
    <t>T = Taxa referente aos tributos municipais,</t>
  </si>
  <si>
    <t>MC = Taxa referente a margem de</t>
  </si>
  <si>
    <t>FE= Fundo Estadual de Apoio ao</t>
  </si>
  <si>
    <t>Fórmula do BDI:</t>
  </si>
  <si>
    <t>BDI = {[(1+AC+CF+MI)/1-(T+MC + FE)]-1}x100</t>
  </si>
  <si>
    <t>4. TAXA DE BDI(BDI):</t>
  </si>
  <si>
    <t>5. PREÇO TOTAL DA OBRA COM BDI(PT = CDx(1+BDI/100))</t>
  </si>
  <si>
    <t>ORÇAMENTISTA:</t>
  </si>
  <si>
    <t>DATA: OUTUBRO/2021</t>
  </si>
  <si>
    <t>* Cobrança a que se refere o Inciso II do Art.8° da Lei Estadual n° 9.335, de 25 de janeiro de 2011, regulamentada pelo Decreto n° 32.086/2011. A retenção incide sobre todos os pagamentos realizados pelo Poder Executivo Estadual, na alíquota de 1,50%, conforme estabelecido pelo Art. 1° da Lei n° 9.355, de 19 de abril de 2011.</t>
  </si>
  <si>
    <t>Laje pré-moldada unidirecional, para forro, enchimento em cerâmica, vigota convencional, altura  total (enchimento + capa) (8+3).</t>
  </si>
  <si>
    <t>Lastro com material granular, aplicado em pisos sobre o solo, espessura 5cm.</t>
  </si>
  <si>
    <t xml:space="preserve">Aplicação manual de pintura com tinta látex acrílica em paredes, 2 demãos. </t>
  </si>
  <si>
    <t>Composiç ão 02</t>
  </si>
  <si>
    <t>Tubo PVC, roscável, 1.1/2", água fria predial</t>
  </si>
  <si>
    <t xml:space="preserve">Cerca de Proteção </t>
  </si>
  <si>
    <t>08900/ORSE</t>
  </si>
  <si>
    <t>LOCALIDADE: BAIRRO SÃO JOSÉ</t>
  </si>
  <si>
    <t>OBRA: IMPLANTAÇÃO DE ABASTECIMENTO D'ÁGUA SINGELO</t>
  </si>
  <si>
    <t>B.D.I.=</t>
  </si>
  <si>
    <t>LOCAL:</t>
  </si>
  <si>
    <t>DIVERSAS LOCALIDADES NO MUNICÍPIO</t>
  </si>
  <si>
    <t>COMPOSIÇÃO 01</t>
  </si>
  <si>
    <t>FONTE DA PESQUISA</t>
  </si>
  <si>
    <t>B.D.I.:</t>
  </si>
  <si>
    <t>4107 / Insumos</t>
  </si>
  <si>
    <t>339 / Insumo</t>
  </si>
  <si>
    <t>43130 / Insumos</t>
  </si>
  <si>
    <t>39808 / Insumos</t>
  </si>
  <si>
    <t>DATA DA PESQUISA - COM DESONERAÇÃO:</t>
  </si>
  <si>
    <t>SETEMBRO</t>
  </si>
  <si>
    <t xml:space="preserve"> 
ESTADO DA PARAÍBA
PREFEITURA MUNCIPAL DE SANTA LUZIA PB   </t>
  </si>
  <si>
    <t>QUADRO DE COMPOSIÇÃO DA TAXA DE BDI</t>
  </si>
  <si>
    <t xml:space="preserve"> 
ESTADO DA PARAÍBA
PREFEITURA MUNCIPAL DE SANTA LUZIA PB </t>
  </si>
  <si>
    <t>COMPOSIÇÃO 02</t>
  </si>
  <si>
    <t>B.D.I=</t>
  </si>
  <si>
    <t>COMPOSIÇÃO 16</t>
  </si>
  <si>
    <r>
      <t xml:space="preserve"> 
</t>
    </r>
    <r>
      <rPr>
        <b/>
        <sz val="14"/>
        <color theme="1"/>
        <rFont val="Calibri"/>
        <family val="2"/>
        <scheme val="minor"/>
      </rPr>
      <t>ESTADO DA PARAÍBA
PREFEITURA MUNCIPAL DE SANTA LUZIA PB                                                                                                                                                                                                                 PLANILHA DE QUANTITATIVOS E PREÇOS</t>
    </r>
  </si>
  <si>
    <t>Caixa enterrada hidráulica retangular em alvenaria com tijolos cerâmicos maciços, dimensões internas: 0,3x0,3x0,3 m</t>
  </si>
  <si>
    <t>TOTAL COM BDI</t>
  </si>
  <si>
    <t>COMPOSIÇÃO 05</t>
  </si>
  <si>
    <t>COMPOSIÇÃO 06</t>
  </si>
  <si>
    <t>COMPOSIÇÃO 07</t>
  </si>
  <si>
    <t>COMPOSIÇÃO 08</t>
  </si>
  <si>
    <t>COMPOSIÇÃO 09</t>
  </si>
  <si>
    <t>COMPOSIÇÃO 10</t>
  </si>
  <si>
    <t>COMPOSIÇÃO 11</t>
  </si>
  <si>
    <t>COMPOSIÇÃO 12</t>
  </si>
  <si>
    <t>COMPOSIÇÃO 13/14</t>
  </si>
  <si>
    <t>COMPOSIÇÃO 15</t>
  </si>
  <si>
    <t>**A taxa de incidência do ISS pode ser de 2% a 5%. Foi considerada a taxa cobrada pela Prefeitura Municipal de Santa Luzia - PB, ou seja, 5% sobre a mão-de-obra e considerada essa ultima 50% do custo total da obra, logo,
5%x50% = 2,5%.</t>
  </si>
  <si>
    <t>N/A</t>
  </si>
  <si>
    <t xml:space="preserve">   </t>
  </si>
  <si>
    <t>Eletrobomba submersa 1 CV e peças, incluindo válvula de retenção e registro, diâmetro da tubulação de recalque de até 1.1/4", profundidade da bomba de até 36 metros, inclusive rede elétrica desde o quadro de comando até a bomba - Fornecimento, montagem e instalação</t>
  </si>
  <si>
    <t>COMPOSIÇÃO 03</t>
  </si>
  <si>
    <t>51/ORSE</t>
  </si>
  <si>
    <t>Placa indicativa de obra em chapa de aço galvanizaod</t>
  </si>
  <si>
    <t>P. UNIT. COM BDI</t>
  </si>
  <si>
    <t>LOCALIDADE: BAIRRO FREI DAMIÃO - ESCOLA FRANCISCO SERÁFICO</t>
  </si>
  <si>
    <t>LOCALIDADE: BAIRRO FREI DAMIÃO - ESCOLA TRINDADE VERNA</t>
  </si>
  <si>
    <t>LOCALIDADE: BAIRRO NOSSA SENHORA DE FÁTIMA - PRAÇA DONA DIVA</t>
  </si>
  <si>
    <t>TOTAL SEM BDI</t>
  </si>
  <si>
    <t>Comp. 03</t>
  </si>
  <si>
    <t>PLANILHA RESUMO</t>
  </si>
  <si>
    <t>LOCALIDADE: DIVERSOS BAIRROS DA SEDE DO MUNICÍPIO</t>
  </si>
  <si>
    <t>DESCRIÇÃO DA COMUNIDADE</t>
  </si>
  <si>
    <t>BAIRRO SÃO JOSÉ</t>
  </si>
  <si>
    <t>BAIRRO NOSSA SENHORA DE FÁTIMA</t>
  </si>
  <si>
    <t>BAIRRO FREI DAMIÃO - ESCOLA SERÁFICO NÓBREGA</t>
  </si>
  <si>
    <t>BAIRRO FREI DAMIÃO - ESCOLA TRINDADE VERNA</t>
  </si>
  <si>
    <t>VALOR TOTAL</t>
  </si>
  <si>
    <r>
      <t xml:space="preserve"> 
</t>
    </r>
    <r>
      <rPr>
        <b/>
        <sz val="14"/>
        <color theme="1"/>
        <rFont val="Calibri"/>
        <family val="2"/>
        <scheme val="minor"/>
      </rPr>
      <t>ESTADO DA PARAÍBA
PREFEITURA MUNCIPAL DE SANTA LUZIA PB                                                                                                                                            CRONOGRAMA FÍSICO-FINANCEIRO</t>
    </r>
  </si>
  <si>
    <t>LOCALIDADE: DIVERSAS LOCALIDADES DO MUNICÍPIO</t>
  </si>
  <si>
    <t>DESCRIÇÃO</t>
  </si>
  <si>
    <t>MESES</t>
  </si>
  <si>
    <t>%</t>
  </si>
  <si>
    <t>PROTEÇÃO DA BOCA DO POÇO E CASINHA DO MEDIDOR</t>
  </si>
  <si>
    <t>RESERVATÓRIO</t>
  </si>
  <si>
    <t>TOTAL EM R$</t>
  </si>
  <si>
    <t>TOTAL EM %</t>
  </si>
  <si>
    <t>TOTAL ACUMULADO EM R$</t>
  </si>
  <si>
    <t>TOTAL ACUMULADO EM %</t>
  </si>
  <si>
    <t>COMPOSIÇÃO DAS TAXAS DE LEIS SOCIAIS PARA HORISTAS E RISCOS DO TRABALHO</t>
  </si>
  <si>
    <t>TAXA%</t>
  </si>
  <si>
    <t>GRUPO A</t>
  </si>
  <si>
    <t>INSS</t>
  </si>
  <si>
    <t>SESI</t>
  </si>
  <si>
    <t>SENAI</t>
  </si>
  <si>
    <t>INCRA</t>
  </si>
  <si>
    <t>SEBRAE</t>
  </si>
  <si>
    <t>SALÁRIO EDUCAÇÃO</t>
  </si>
  <si>
    <t>SEGURO CONTRA ACIDENTES</t>
  </si>
  <si>
    <t>FGTS</t>
  </si>
  <si>
    <t>SECONCI</t>
  </si>
  <si>
    <t>TOTAL DO ITEM 1.0:</t>
  </si>
  <si>
    <t>GRUPO B</t>
  </si>
  <si>
    <t>REPOUSO SEMANAL E FERIADOS</t>
  </si>
  <si>
    <t>FERIADOS</t>
  </si>
  <si>
    <t>AUXÍLIO-ENFERMIDADE</t>
  </si>
  <si>
    <t>2.4</t>
  </si>
  <si>
    <t>13º SALÁRIO</t>
  </si>
  <si>
    <t>2.5</t>
  </si>
  <si>
    <t>LICENÇA PATERNIDADE</t>
  </si>
  <si>
    <t>2.6</t>
  </si>
  <si>
    <t>FALTAS</t>
  </si>
  <si>
    <t>2.7</t>
  </si>
  <si>
    <t>DIAS DE CHUVA</t>
  </si>
  <si>
    <t>2.8</t>
  </si>
  <si>
    <t>AUXÍLIO ACIDENTE DE TRABALHO</t>
  </si>
  <si>
    <t>2.9</t>
  </si>
  <si>
    <t>FÉRIAS GOZADAS</t>
  </si>
  <si>
    <t>2.10</t>
  </si>
  <si>
    <t>SALÁRIO MATERNIDADE</t>
  </si>
  <si>
    <t>TOTAL DO ITEM 2.0:</t>
  </si>
  <si>
    <t>GRUPO C</t>
  </si>
  <si>
    <t>AVISO PRÉVIO INDENIZADO</t>
  </si>
  <si>
    <t>AVISO PRÉVIO TRABALHADO</t>
  </si>
  <si>
    <t>FÉRIAS INDENIZADAS</t>
  </si>
  <si>
    <t>3.4</t>
  </si>
  <si>
    <t>DEPÓSITO RECISÃO SEM JUSTA CAUSA</t>
  </si>
  <si>
    <t>3.5</t>
  </si>
  <si>
    <t>INDENIZAÇÃO ADICIONAL</t>
  </si>
  <si>
    <t>TOTAL DO ITEM 3.0:</t>
  </si>
  <si>
    <t>GRUPO D</t>
  </si>
  <si>
    <t>REINCIDÊNCIA DE 1 SOBRE 2</t>
  </si>
  <si>
    <t>REINCIDÊNCIA DE 1 SOBRE AVISO PRÉVIO TRABALHADO E REINCIDÊNCIA DO FGTS SOBRE AVISO INDENIZADO</t>
  </si>
  <si>
    <t>TOTAL DO ITEM 4.0:</t>
  </si>
  <si>
    <t xml:space="preserve"> </t>
  </si>
  <si>
    <t>/2022</t>
  </si>
  <si>
    <t>SINAPI / ORSE  09/2022</t>
  </si>
  <si>
    <t>LOCALIDADE: BAIRRO NOSSA SENHORA DE FÁTIMA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</si>
</sst>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&quot;R$&quot;\ #,##0.00"/>
    <numFmt numFmtId="165" formatCode="0.000"/>
    <numFmt numFmtId="166" formatCode="0.0000000000000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44" fontId="0" fillId="0" borderId="0" xfId="1" applyFont="1"/>
    <xf numFmtId="2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2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/>
    <xf numFmtId="44" fontId="2" fillId="0" borderId="1" xfId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64" fontId="0" fillId="0" borderId="1" xfId="1" applyNumberFormat="1" applyFont="1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164" fontId="2" fillId="0" borderId="1" xfId="1" applyNumberFormat="1" applyFont="1" applyBorder="1"/>
    <xf numFmtId="164" fontId="0" fillId="0" borderId="1" xfId="0" applyNumberForma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1" applyNumberFormat="1" applyFont="1" applyBorder="1"/>
    <xf numFmtId="10" fontId="0" fillId="0" borderId="1" xfId="2" applyNumberFormat="1" applyFont="1" applyBorder="1"/>
    <xf numFmtId="0" fontId="2" fillId="0" borderId="1" xfId="0" applyFont="1" applyBorder="1" applyAlignment="1">
      <alignment horizontal="center"/>
    </xf>
    <xf numFmtId="44" fontId="3" fillId="0" borderId="1" xfId="1" applyFont="1" applyBorder="1"/>
    <xf numFmtId="0" fontId="2" fillId="0" borderId="6" xfId="0" applyFont="1" applyBorder="1"/>
    <xf numFmtId="10" fontId="0" fillId="0" borderId="6" xfId="2" applyNumberFormat="1" applyFont="1" applyBorder="1"/>
    <xf numFmtId="0" fontId="0" fillId="0" borderId="6" xfId="0" applyBorder="1"/>
    <xf numFmtId="44" fontId="0" fillId="0" borderId="1" xfId="1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right" vertical="center"/>
    </xf>
    <xf numFmtId="44" fontId="0" fillId="0" borderId="1" xfId="1" applyFont="1" applyBorder="1" applyAlignment="1">
      <alignment horizontal="right" vertical="center" wrapText="1"/>
    </xf>
    <xf numFmtId="165" fontId="0" fillId="0" borderId="1" xfId="0" applyNumberFormat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44" fontId="0" fillId="0" borderId="1" xfId="1" applyFont="1" applyBorder="1" applyAlignment="1">
      <alignment vertical="center"/>
    </xf>
    <xf numFmtId="4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4" xfId="0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44" fontId="2" fillId="0" borderId="4" xfId="1" applyFont="1" applyBorder="1"/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2" fontId="0" fillId="0" borderId="5" xfId="0" applyNumberFormat="1" applyBorder="1"/>
    <xf numFmtId="164" fontId="0" fillId="0" borderId="5" xfId="1" applyNumberFormat="1" applyFont="1" applyBorder="1"/>
    <xf numFmtId="44" fontId="0" fillId="0" borderId="5" xfId="1" applyFont="1" applyBorder="1"/>
    <xf numFmtId="0" fontId="0" fillId="0" borderId="12" xfId="0" applyBorder="1"/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2" fontId="0" fillId="0" borderId="4" xfId="0" applyNumberFormat="1" applyBorder="1"/>
    <xf numFmtId="164" fontId="0" fillId="0" borderId="4" xfId="1" applyNumberFormat="1" applyFont="1" applyBorder="1"/>
    <xf numFmtId="164" fontId="0" fillId="0" borderId="4" xfId="0" applyNumberFormat="1" applyBorder="1"/>
    <xf numFmtId="0" fontId="2" fillId="0" borderId="13" xfId="0" applyFont="1" applyBorder="1"/>
    <xf numFmtId="0" fontId="2" fillId="0" borderId="13" xfId="0" applyFont="1" applyBorder="1" applyAlignment="1">
      <alignment horizontal="center" vertical="center" wrapText="1"/>
    </xf>
    <xf numFmtId="44" fontId="2" fillId="0" borderId="13" xfId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2" fontId="2" fillId="0" borderId="5" xfId="0" applyNumberFormat="1" applyFont="1" applyBorder="1"/>
    <xf numFmtId="164" fontId="2" fillId="0" borderId="5" xfId="1" applyNumberFormat="1" applyFont="1" applyBorder="1"/>
    <xf numFmtId="44" fontId="2" fillId="0" borderId="5" xfId="1" applyFont="1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2" fillId="0" borderId="14" xfId="0" applyFont="1" applyBorder="1"/>
    <xf numFmtId="10" fontId="0" fillId="0" borderId="15" xfId="2" applyNumberFormat="1" applyFont="1" applyBorder="1"/>
    <xf numFmtId="10" fontId="0" fillId="0" borderId="16" xfId="2" applyNumberFormat="1" applyFont="1" applyBorder="1"/>
    <xf numFmtId="166" fontId="0" fillId="0" borderId="0" xfId="0" applyNumberFormat="1"/>
    <xf numFmtId="164" fontId="1" fillId="0" borderId="10" xfId="1" applyNumberFormat="1" applyFont="1" applyBorder="1"/>
    <xf numFmtId="44" fontId="2" fillId="0" borderId="5" xfId="1" applyFont="1" applyBorder="1" applyAlignment="1">
      <alignment horizontal="center" vertical="center" wrapText="1"/>
    </xf>
    <xf numFmtId="44" fontId="0" fillId="0" borderId="0" xfId="0" applyNumberFormat="1"/>
    <xf numFmtId="44" fontId="2" fillId="0" borderId="10" xfId="1" applyFont="1" applyBorder="1" applyAlignment="1">
      <alignment wrapText="1"/>
    </xf>
    <xf numFmtId="44" fontId="2" fillId="2" borderId="7" xfId="1" applyFont="1" applyFill="1" applyBorder="1" applyAlignment="1">
      <alignment wrapText="1"/>
    </xf>
    <xf numFmtId="44" fontId="2" fillId="2" borderId="4" xfId="1" applyFont="1" applyFill="1" applyBorder="1" applyAlignment="1">
      <alignment wrapText="1"/>
    </xf>
    <xf numFmtId="44" fontId="2" fillId="0" borderId="12" xfId="1" applyFont="1" applyBorder="1"/>
    <xf numFmtId="9" fontId="2" fillId="0" borderId="4" xfId="2" applyFont="1" applyBorder="1" applyAlignment="1"/>
    <xf numFmtId="9" fontId="2" fillId="0" borderId="10" xfId="2" applyFont="1" applyBorder="1" applyAlignment="1"/>
    <xf numFmtId="9" fontId="2" fillId="2" borderId="19" xfId="2" applyFont="1" applyFill="1" applyBorder="1" applyAlignment="1"/>
    <xf numFmtId="9" fontId="2" fillId="2" borderId="13" xfId="2" applyFont="1" applyFill="1" applyBorder="1" applyAlignment="1"/>
    <xf numFmtId="9" fontId="2" fillId="0" borderId="12" xfId="2" applyFont="1" applyBorder="1"/>
    <xf numFmtId="44" fontId="2" fillId="0" borderId="19" xfId="1" applyFont="1" applyBorder="1"/>
    <xf numFmtId="44" fontId="2" fillId="2" borderId="13" xfId="1" applyFont="1" applyFill="1" applyBorder="1"/>
    <xf numFmtId="9" fontId="2" fillId="0" borderId="12" xfId="2" applyFont="1" applyFill="1" applyBorder="1"/>
    <xf numFmtId="9" fontId="2" fillId="0" borderId="10" xfId="2" applyFont="1" applyFill="1" applyBorder="1"/>
    <xf numFmtId="164" fontId="2" fillId="2" borderId="5" xfId="1" applyNumberFormat="1" applyFont="1" applyFill="1" applyBorder="1"/>
    <xf numFmtId="9" fontId="2" fillId="0" borderId="9" xfId="2" applyFont="1" applyBorder="1" applyAlignment="1"/>
    <xf numFmtId="9" fontId="2" fillId="0" borderId="1" xfId="2" applyFont="1" applyBorder="1" applyAlignment="1"/>
    <xf numFmtId="9" fontId="2" fillId="0" borderId="1" xfId="2" applyFont="1" applyBorder="1"/>
    <xf numFmtId="44" fontId="2" fillId="2" borderId="4" xfId="1" applyFont="1" applyFill="1" applyBorder="1"/>
    <xf numFmtId="0" fontId="2" fillId="2" borderId="5" xfId="0" applyFont="1" applyFill="1" applyBorder="1"/>
    <xf numFmtId="9" fontId="2" fillId="0" borderId="9" xfId="2" applyFont="1" applyBorder="1"/>
    <xf numFmtId="9" fontId="2" fillId="0" borderId="4" xfId="2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20" xfId="0" applyFont="1" applyBorder="1"/>
    <xf numFmtId="44" fontId="2" fillId="0" borderId="11" xfId="1" applyFont="1" applyBorder="1"/>
    <xf numFmtId="44" fontId="7" fillId="2" borderId="4" xfId="1" applyFont="1" applyFill="1" applyBorder="1"/>
    <xf numFmtId="167" fontId="2" fillId="0" borderId="1" xfId="2" applyNumberFormat="1" applyFont="1" applyBorder="1"/>
    <xf numFmtId="167" fontId="2" fillId="0" borderId="7" xfId="2" applyNumberFormat="1" applyFont="1" applyBorder="1"/>
    <xf numFmtId="167" fontId="7" fillId="2" borderId="13" xfId="2" applyNumberFormat="1" applyFont="1" applyFill="1" applyBorder="1"/>
    <xf numFmtId="44" fontId="2" fillId="0" borderId="10" xfId="1" applyFont="1" applyBorder="1"/>
    <xf numFmtId="44" fontId="2" fillId="2" borderId="3" xfId="1" applyFont="1" applyFill="1" applyBorder="1"/>
    <xf numFmtId="167" fontId="2" fillId="0" borderId="10" xfId="2" applyNumberFormat="1" applyFont="1" applyBorder="1"/>
    <xf numFmtId="167" fontId="2" fillId="2" borderId="5" xfId="2" applyNumberFormat="1" applyFont="1" applyFill="1" applyBorder="1"/>
    <xf numFmtId="167" fontId="2" fillId="2" borderId="21" xfId="2" applyNumberFormat="1" applyFont="1" applyFill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0" fontId="1" fillId="0" borderId="11" xfId="1" applyNumberFormat="1" applyFont="1" applyBorder="1" applyAlignment="1">
      <alignment horizontal="left"/>
    </xf>
    <xf numFmtId="0" fontId="0" fillId="0" borderId="6" xfId="0" applyBorder="1" applyAlignment="1">
      <alignment horizontal="left" wrapText="1"/>
    </xf>
    <xf numFmtId="10" fontId="0" fillId="0" borderId="6" xfId="2" applyNumberFormat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0" fontId="0" fillId="0" borderId="6" xfId="0" applyBorder="1" applyAlignment="1">
      <alignment horizontal="left"/>
    </xf>
    <xf numFmtId="10" fontId="0" fillId="0" borderId="6" xfId="2" applyNumberFormat="1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44" fontId="2" fillId="0" borderId="1" xfId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1" xfId="2" applyFont="1" applyBorder="1" applyAlignment="1">
      <alignment horizontal="center"/>
    </xf>
    <xf numFmtId="9" fontId="2" fillId="0" borderId="4" xfId="2" applyFont="1" applyBorder="1" applyAlignment="1">
      <alignment horizontal="center"/>
    </xf>
    <xf numFmtId="44" fontId="2" fillId="0" borderId="5" xfId="1" applyFont="1" applyBorder="1" applyAlignment="1">
      <alignment horizontal="left"/>
    </xf>
    <xf numFmtId="167" fontId="2" fillId="0" borderId="1" xfId="2" applyNumberFormat="1" applyFont="1" applyBorder="1" applyAlignment="1">
      <alignment horizontal="left"/>
    </xf>
    <xf numFmtId="44" fontId="2" fillId="0" borderId="1" xfId="1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/>
    </xf>
    <xf numFmtId="9" fontId="2" fillId="0" borderId="5" xfId="2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9" fontId="2" fillId="0" borderId="5" xfId="2" applyFont="1" applyBorder="1" applyAlignment="1">
      <alignment horizontal="center"/>
    </xf>
    <xf numFmtId="44" fontId="2" fillId="0" borderId="10" xfId="1" applyFont="1" applyBorder="1" applyAlignment="1">
      <alignment horizontal="left"/>
    </xf>
    <xf numFmtId="44" fontId="2" fillId="0" borderId="12" xfId="1" applyFont="1" applyBorder="1" applyAlignment="1">
      <alignment horizontal="left"/>
    </xf>
    <xf numFmtId="167" fontId="2" fillId="0" borderId="10" xfId="2" applyNumberFormat="1" applyFont="1" applyBorder="1" applyAlignment="1">
      <alignment horizontal="left"/>
    </xf>
    <xf numFmtId="167" fontId="2" fillId="0" borderId="12" xfId="2" applyNumberFormat="1" applyFont="1" applyBorder="1" applyAlignment="1">
      <alignment horizontal="left"/>
    </xf>
    <xf numFmtId="44" fontId="1" fillId="0" borderId="6" xfId="1" applyFont="1" applyBorder="1" applyAlignment="1">
      <alignment horizontal="left"/>
    </xf>
    <xf numFmtId="10" fontId="1" fillId="0" borderId="6" xfId="2" applyNumberFormat="1" applyFont="1" applyBorder="1"/>
    <xf numFmtId="0" fontId="8" fillId="0" borderId="6" xfId="0" applyFont="1" applyBorder="1"/>
    <xf numFmtId="0" fontId="2" fillId="0" borderId="6" xfId="0" applyFont="1" applyBorder="1" applyAlignment="1">
      <alignment horizontal="center"/>
    </xf>
    <xf numFmtId="10" fontId="2" fillId="0" borderId="6" xfId="2" applyNumberFormat="1" applyFont="1" applyBorder="1" applyAlignment="1">
      <alignment horizontal="center"/>
    </xf>
    <xf numFmtId="0" fontId="0" fillId="0" borderId="14" xfId="0" applyBorder="1"/>
    <xf numFmtId="0" fontId="0" fillId="0" borderId="22" xfId="0" applyBorder="1"/>
    <xf numFmtId="0" fontId="0" fillId="0" borderId="6" xfId="0" applyBorder="1"/>
    <xf numFmtId="10" fontId="1" fillId="0" borderId="6" xfId="2" applyNumberFormat="1" applyFont="1" applyBorder="1" applyAlignment="1">
      <alignment horizontal="left"/>
    </xf>
    <xf numFmtId="0" fontId="0" fillId="0" borderId="23" xfId="0" applyBorder="1"/>
    <xf numFmtId="10" fontId="1" fillId="0" borderId="14" xfId="2" applyNumberFormat="1" applyFont="1" applyBorder="1"/>
    <xf numFmtId="10" fontId="1" fillId="0" borderId="22" xfId="2" applyNumberFormat="1" applyFont="1" applyBorder="1"/>
    <xf numFmtId="0" fontId="9" fillId="0" borderId="6" xfId="0" applyFont="1" applyBorder="1" applyAlignment="1">
      <alignment vertical="center"/>
    </xf>
    <xf numFmtId="44" fontId="1" fillId="0" borderId="6" xfId="1" applyFont="1" applyBorder="1" applyAlignment="1">
      <alignment horizontal="left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3823450</xdr:colOff>
      <xdr:row>0</xdr:row>
      <xdr:rowOff>219636</xdr:rowOff>
    </xdr:from>
    <xdr:to>
      <xdr:col>3</xdr:col>
      <xdr:colOff>195658</xdr:colOff>
      <xdr:row>1</xdr:row>
      <xdr:rowOff>184076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D53678-9C08-4FD2-864F-E7CA2BA4AF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421" y="219636"/>
          <a:ext cx="720090" cy="827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3834655</xdr:colOff>
      <xdr:row>0</xdr:row>
      <xdr:rowOff>152400</xdr:rowOff>
    </xdr:from>
    <xdr:to>
      <xdr:col>3</xdr:col>
      <xdr:colOff>206863</xdr:colOff>
      <xdr:row>1</xdr:row>
      <xdr:rowOff>116840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B489FA-C89B-4D22-88A4-64B268DD9A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626" y="152400"/>
          <a:ext cx="720090" cy="8272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3823447</xdr:colOff>
      <xdr:row>0</xdr:row>
      <xdr:rowOff>197223</xdr:rowOff>
    </xdr:from>
    <xdr:to>
      <xdr:col>3</xdr:col>
      <xdr:colOff>195655</xdr:colOff>
      <xdr:row>1</xdr:row>
      <xdr:rowOff>161663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223C30-64EC-4F13-87C6-9AE919D8D3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418" y="197223"/>
          <a:ext cx="720090" cy="827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3857064</xdr:colOff>
      <xdr:row>0</xdr:row>
      <xdr:rowOff>186018</xdr:rowOff>
    </xdr:from>
    <xdr:to>
      <xdr:col>3</xdr:col>
      <xdr:colOff>229272</xdr:colOff>
      <xdr:row>1</xdr:row>
      <xdr:rowOff>150458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86699A-98AB-4A3F-9E8B-5468302C8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035" y="186018"/>
          <a:ext cx="720090" cy="8272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4067175</xdr:colOff>
      <xdr:row>0</xdr:row>
      <xdr:rowOff>0</xdr:rowOff>
    </xdr:from>
    <xdr:to>
      <xdr:col>0</xdr:col>
      <xdr:colOff>4775835</xdr:colOff>
      <xdr:row>1</xdr:row>
      <xdr:rowOff>212090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0A47A7-A344-41BC-B342-A687787044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0"/>
          <a:ext cx="708660" cy="8216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3228975</xdr:colOff>
      <xdr:row>0</xdr:row>
      <xdr:rowOff>0</xdr:rowOff>
    </xdr:from>
    <xdr:to>
      <xdr:col>2</xdr:col>
      <xdr:colOff>3935730</xdr:colOff>
      <xdr:row>2</xdr:row>
      <xdr:rowOff>124460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EAD960-DE91-4624-A20F-8C0B852BE8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0"/>
          <a:ext cx="708660" cy="8216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57150</xdr:rowOff>
    </xdr:from>
    <xdr:to>
      <xdr:col>2</xdr:col>
      <xdr:colOff>803910</xdr:colOff>
      <xdr:row>1</xdr:row>
      <xdr:rowOff>139700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8A64B3-D763-451A-8215-4707A25383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57150"/>
          <a:ext cx="708660" cy="825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123825</xdr:rowOff>
    </xdr:from>
    <xdr:to>
      <xdr:col>4</xdr:col>
      <xdr:colOff>320040</xdr:colOff>
      <xdr:row>1</xdr:row>
      <xdr:rowOff>137795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6B26B7-49C5-44F5-96D4-7185D7AE2E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123825"/>
          <a:ext cx="710565" cy="890270"/>
        </a:xfrm>
        <a:prstGeom prst="rect">
          <a:avLst/>
        </a:prstGeom>
      </xdr:spPr>
    </xdr:pic>
    <xdr:clientData/>
  </xdr:twoCellAnchor>
  <xdr:oneCellAnchor>
    <xdr:from>
      <xdr:col>3</xdr:col>
      <xdr:colOff>571500</xdr:colOff>
      <xdr:row>21</xdr:row>
      <xdr:rowOff>123825</xdr:rowOff>
    </xdr:from>
    <xdr:ext cx="710565" cy="890270"/>
    <xdr:pic>
      <xdr:nvPicPr>
        <xdr:cNvPr id="3" name="Imagem 2">
          <a:extLst>
            <a:ext uri="{FF2B5EF4-FFF2-40B4-BE49-F238E27FC236}">
              <a16:creationId xmlns:a16="http://schemas.microsoft.com/office/drawing/2014/main" id="{FBE8499C-34D0-4722-BDBA-C30801BDAC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123825"/>
          <a:ext cx="710565" cy="890270"/>
        </a:xfrm>
        <a:prstGeom prst="rect">
          <a:avLst/>
        </a:prstGeom>
      </xdr:spPr>
    </xdr:pic>
    <xdr:clientData/>
  </xdr:oneCellAnchor>
  <xdr:oneCellAnchor>
    <xdr:from>
      <xdr:col>3</xdr:col>
      <xdr:colOff>571500</xdr:colOff>
      <xdr:row>42</xdr:row>
      <xdr:rowOff>123825</xdr:rowOff>
    </xdr:from>
    <xdr:ext cx="710565" cy="890270"/>
    <xdr:pic>
      <xdr:nvPicPr>
        <xdr:cNvPr id="4" name="Imagem 3">
          <a:extLst>
            <a:ext uri="{FF2B5EF4-FFF2-40B4-BE49-F238E27FC236}">
              <a16:creationId xmlns:a16="http://schemas.microsoft.com/office/drawing/2014/main" id="{3CB650BA-EE9D-4C80-9978-C724E596DC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5924550"/>
          <a:ext cx="710565" cy="890270"/>
        </a:xfrm>
        <a:prstGeom prst="rect">
          <a:avLst/>
        </a:prstGeom>
      </xdr:spPr>
    </xdr:pic>
    <xdr:clientData/>
  </xdr:oneCellAnchor>
  <xdr:oneCellAnchor>
    <xdr:from>
      <xdr:col>3</xdr:col>
      <xdr:colOff>571500</xdr:colOff>
      <xdr:row>63</xdr:row>
      <xdr:rowOff>123825</xdr:rowOff>
    </xdr:from>
    <xdr:ext cx="710565" cy="890270"/>
    <xdr:pic>
      <xdr:nvPicPr>
        <xdr:cNvPr id="5" name="Imagem 4">
          <a:extLst>
            <a:ext uri="{FF2B5EF4-FFF2-40B4-BE49-F238E27FC236}">
              <a16:creationId xmlns:a16="http://schemas.microsoft.com/office/drawing/2014/main" id="{2C7B81DC-E296-4F8C-AEB5-BB061DE8A3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11468100"/>
          <a:ext cx="710565" cy="890270"/>
        </a:xfrm>
        <a:prstGeom prst="rect">
          <a:avLst/>
        </a:prstGeom>
      </xdr:spPr>
    </xdr:pic>
    <xdr:clientData/>
  </xdr:oneCellAnchor>
  <xdr:oneCellAnchor>
    <xdr:from>
      <xdr:col>3</xdr:col>
      <xdr:colOff>571500</xdr:colOff>
      <xdr:row>84</xdr:row>
      <xdr:rowOff>123825</xdr:rowOff>
    </xdr:from>
    <xdr:ext cx="710565" cy="890270"/>
    <xdr:pic>
      <xdr:nvPicPr>
        <xdr:cNvPr id="6" name="Imagem 5">
          <a:extLst>
            <a:ext uri="{FF2B5EF4-FFF2-40B4-BE49-F238E27FC236}">
              <a16:creationId xmlns:a16="http://schemas.microsoft.com/office/drawing/2014/main" id="{A5DAF04F-ABBC-46C0-9EAC-3FDC545DE6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17030700"/>
          <a:ext cx="710565" cy="89027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2314575</xdr:colOff>
      <xdr:row>0</xdr:row>
      <xdr:rowOff>66675</xdr:rowOff>
    </xdr:from>
    <xdr:to>
      <xdr:col>3</xdr:col>
      <xdr:colOff>720090</xdr:colOff>
      <xdr:row>1</xdr:row>
      <xdr:rowOff>231140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6EA10C-D573-4FF4-9560-0E1AA22252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66675"/>
          <a:ext cx="720090" cy="907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Documentos/CASA%20+%20ENGENHARIA/PROJETOS/PO&#199;OS%20-%20GALEGO/PROJETO%20-%20SANTA%20LUZIA/PROJETOS/COMUNIDADE%201%20-%20BAIRRO%20S&#195;O%20JOS&#201;/OR&#199;AMENTO%20BAIRRO%20S&#195;O%20JOS&#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BDI"/>
      <sheetName val="COMP. 01"/>
      <sheetName val="COMP. 02"/>
      <sheetName val="COMP. 04"/>
      <sheetName val="COMP. 05"/>
      <sheetName val="COMP. 06"/>
      <sheetName val="COMP. 07"/>
      <sheetName val="COMP. 08"/>
      <sheetName val="COMP. 09"/>
      <sheetName val="COMP. 10"/>
      <sheetName val="COMP. 11"/>
      <sheetName val="COMP. 12"/>
      <sheetName val="COMP. 13"/>
      <sheetName val="COMP. 15"/>
      <sheetName val="COMP. 16"/>
    </sheetNames>
    <sheetDataSet>
      <sheetData sheetId="0"/>
      <sheetData sheetId="1"/>
      <sheetData sheetId="2"/>
      <sheetData sheetId="3">
        <row r="15">
          <cell r="G15">
            <v>1966.3219999999999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CBCCA-2952-4A50-94D1-C5A9B506C305}">
  <dimension ref="A1:L91"/>
  <sheetViews>
    <sheetView showGridLines="0" topLeftCell="A25" zoomScale="85" zoomScaleNormal="85" workbookViewId="0">
      <selection activeCell="L11" sqref="L11"/>
    </sheetView>
  </sheetViews>
  <sheetFormatPr defaultRowHeight="15" x14ac:dyDescent="0.25"/>
  <cols>
    <col min="1" max="1" width="7.7109375" bestFit="1" customWidth="1"/>
    <col min="2" max="2" width="14.28515625" style="10" customWidth="1"/>
    <col min="3" max="3" width="65.140625" style="2" customWidth="1"/>
    <col min="4" max="4" width="9.28515625" bestFit="1" customWidth="1"/>
    <col min="5" max="5" width="13.140625" style="4" bestFit="1" customWidth="1"/>
    <col min="6" max="6" width="12.42578125" style="6" bestFit="1" customWidth="1"/>
    <col min="7" max="7" width="13.7109375" style="3" customWidth="1"/>
    <col min="8" max="9" width="16.42578125" customWidth="1"/>
    <col min="10" max="10" width="18.85546875" bestFit="1" customWidth="1"/>
  </cols>
  <sheetData>
    <row r="1" spans="1:9" ht="67.5" customHeight="1" x14ac:dyDescent="0.25">
      <c r="A1" s="134" t="s">
        <v>358</v>
      </c>
      <c r="B1" s="135"/>
      <c r="C1" s="135"/>
      <c r="D1" s="135"/>
      <c r="E1" s="135"/>
      <c r="F1" s="135"/>
      <c r="G1" s="135"/>
      <c r="H1" s="135"/>
      <c r="I1" s="136"/>
    </row>
    <row r="2" spans="1:9" ht="72.75" customHeight="1" thickBot="1" x14ac:dyDescent="0.3">
      <c r="A2" s="137"/>
      <c r="B2" s="138"/>
      <c r="C2" s="138"/>
      <c r="D2" s="138"/>
      <c r="E2" s="138"/>
      <c r="F2" s="138"/>
      <c r="G2" s="138"/>
      <c r="H2" s="138"/>
      <c r="I2" s="139"/>
    </row>
    <row r="3" spans="1:9" ht="15.75" thickBot="1" x14ac:dyDescent="0.3">
      <c r="A3" s="132" t="s">
        <v>339</v>
      </c>
      <c r="B3" s="132"/>
      <c r="C3" s="132"/>
      <c r="D3" s="132"/>
      <c r="E3" s="133"/>
      <c r="F3" s="88" t="s">
        <v>340</v>
      </c>
      <c r="G3" s="144">
        <f>BDI!B33</f>
        <v>0.27550000000000002</v>
      </c>
      <c r="H3" s="144"/>
      <c r="I3" s="144"/>
    </row>
    <row r="4" spans="1:9" ht="15.75" thickBot="1" x14ac:dyDescent="0.3">
      <c r="A4" s="133" t="s">
        <v>338</v>
      </c>
      <c r="B4" s="142"/>
      <c r="C4" s="142"/>
      <c r="D4" s="142"/>
      <c r="E4" s="142"/>
      <c r="F4" s="142"/>
      <c r="G4" s="142"/>
      <c r="H4" s="142"/>
      <c r="I4" s="143"/>
    </row>
    <row r="5" spans="1:9" s="9" customFormat="1" ht="30" customHeight="1" thickBot="1" x14ac:dyDescent="0.3">
      <c r="A5" s="26" t="s">
        <v>0</v>
      </c>
      <c r="B5" s="27" t="s">
        <v>1</v>
      </c>
      <c r="C5" s="27" t="s">
        <v>2</v>
      </c>
      <c r="D5" s="26" t="s">
        <v>3</v>
      </c>
      <c r="E5" s="28" t="s">
        <v>4</v>
      </c>
      <c r="F5" s="29" t="s">
        <v>5</v>
      </c>
      <c r="G5" s="89" t="s">
        <v>378</v>
      </c>
      <c r="H5" s="30" t="s">
        <v>382</v>
      </c>
      <c r="I5" s="30" t="s">
        <v>360</v>
      </c>
    </row>
    <row r="6" spans="1:9" ht="15.75" thickBot="1" x14ac:dyDescent="0.3">
      <c r="A6" s="129"/>
      <c r="B6" s="130"/>
      <c r="C6" s="130"/>
      <c r="D6" s="130"/>
      <c r="E6" s="130"/>
      <c r="F6" s="130"/>
      <c r="G6" s="130"/>
      <c r="H6" s="130"/>
      <c r="I6" s="131"/>
    </row>
    <row r="7" spans="1:9" s="1" customFormat="1" ht="15.75" thickBot="1" x14ac:dyDescent="0.3">
      <c r="A7" s="58" t="s">
        <v>7</v>
      </c>
      <c r="B7" s="59"/>
      <c r="C7" s="140" t="s">
        <v>12</v>
      </c>
      <c r="D7" s="140"/>
      <c r="E7" s="140"/>
      <c r="F7" s="140"/>
      <c r="G7" s="60">
        <f>ROUND((SUM(G9:G11)),2)</f>
        <v>38363.769999999997</v>
      </c>
      <c r="H7" s="60">
        <f>SUM(H9:H11)</f>
        <v>36608.93</v>
      </c>
      <c r="I7" s="60">
        <f>SUM(I9:I11)</f>
        <v>46694.33</v>
      </c>
    </row>
    <row r="8" spans="1:9" ht="15.75" thickBot="1" x14ac:dyDescent="0.3">
      <c r="A8" s="129"/>
      <c r="B8" s="130"/>
      <c r="C8" s="130"/>
      <c r="D8" s="130"/>
      <c r="E8" s="130"/>
      <c r="F8" s="130"/>
      <c r="G8" s="130"/>
      <c r="H8" s="130"/>
      <c r="I8" s="131"/>
    </row>
    <row r="9" spans="1:9" ht="15.75" thickBot="1" x14ac:dyDescent="0.3">
      <c r="A9" s="61" t="s">
        <v>8</v>
      </c>
      <c r="B9" s="62" t="s">
        <v>376</v>
      </c>
      <c r="C9" s="63" t="s">
        <v>377</v>
      </c>
      <c r="D9" s="61" t="s">
        <v>11</v>
      </c>
      <c r="E9" s="64">
        <f>4*2</f>
        <v>8</v>
      </c>
      <c r="F9" s="65">
        <f>(264.15)</f>
        <v>264.14999999999998</v>
      </c>
      <c r="G9" s="66">
        <f>ROUND((F9+F9*$G$3),2)</f>
        <v>336.92</v>
      </c>
      <c r="H9" s="56">
        <f>ROUND((F9*E9),2)</f>
        <v>2113.1999999999998</v>
      </c>
      <c r="I9" s="56">
        <f>ROUND(($G9*$E9),2)</f>
        <v>2695.36</v>
      </c>
    </row>
    <row r="10" spans="1:9" ht="30.75" thickBot="1" x14ac:dyDescent="0.3">
      <c r="A10" s="15" t="s">
        <v>9</v>
      </c>
      <c r="B10" s="20" t="s">
        <v>13</v>
      </c>
      <c r="C10" s="16" t="s">
        <v>14</v>
      </c>
      <c r="D10" s="15" t="s">
        <v>15</v>
      </c>
      <c r="E10" s="17">
        <v>99</v>
      </c>
      <c r="F10" s="21">
        <f>TRUNC((COMPOSIÇÕES!G274),2)</f>
        <v>47.78</v>
      </c>
      <c r="G10" s="66">
        <f t="shared" ref="G10:G11" si="0">ROUND((F10+F10*$G$3),2)</f>
        <v>60.94</v>
      </c>
      <c r="H10" s="56">
        <f t="shared" ref="H10:H11" si="1">ROUND((F10*E10),2)</f>
        <v>4730.22</v>
      </c>
      <c r="I10" s="56">
        <f>ROUND((G10*E10),2)</f>
        <v>6033.06</v>
      </c>
    </row>
    <row r="11" spans="1:9" ht="15.75" thickBot="1" x14ac:dyDescent="0.3">
      <c r="A11" s="68" t="s">
        <v>10</v>
      </c>
      <c r="B11" s="69" t="s">
        <v>16</v>
      </c>
      <c r="C11" s="57" t="s">
        <v>17</v>
      </c>
      <c r="D11" s="68" t="s">
        <v>18</v>
      </c>
      <c r="E11" s="70">
        <v>1</v>
      </c>
      <c r="F11" s="71">
        <f>TRUNC((COMPOSIÇÕES!G37),2)</f>
        <v>29765.51</v>
      </c>
      <c r="G11" s="66">
        <f t="shared" si="0"/>
        <v>37965.910000000003</v>
      </c>
      <c r="H11" s="56">
        <f t="shared" si="1"/>
        <v>29765.51</v>
      </c>
      <c r="I11" s="56">
        <f>ROUND((G11*E11),2)</f>
        <v>37965.910000000003</v>
      </c>
    </row>
    <row r="12" spans="1:9" ht="15.75" thickBot="1" x14ac:dyDescent="0.3">
      <c r="A12" s="129"/>
      <c r="B12" s="130"/>
      <c r="C12" s="130"/>
      <c r="D12" s="130"/>
      <c r="E12" s="130"/>
      <c r="F12" s="130"/>
      <c r="G12" s="130"/>
      <c r="H12" s="130"/>
      <c r="I12" s="131"/>
    </row>
    <row r="13" spans="1:9" ht="15.75" thickBot="1" x14ac:dyDescent="0.3">
      <c r="A13" s="73" t="s">
        <v>19</v>
      </c>
      <c r="B13" s="74"/>
      <c r="C13" s="141" t="s">
        <v>20</v>
      </c>
      <c r="D13" s="141"/>
      <c r="E13" s="141"/>
      <c r="F13" s="141"/>
      <c r="G13" s="75">
        <f>ROUND((SUM(G15,G27,G34)),2)</f>
        <v>5924.12</v>
      </c>
      <c r="H13" s="75">
        <f>SUM(H15,H27,H34)</f>
        <v>4777.71</v>
      </c>
      <c r="I13" s="75">
        <f>SUM(I15,I27,I34)</f>
        <v>6093.84</v>
      </c>
    </row>
    <row r="14" spans="1:9" ht="15.75" thickBot="1" x14ac:dyDescent="0.3">
      <c r="A14" s="129"/>
      <c r="B14" s="130"/>
      <c r="C14" s="130"/>
      <c r="D14" s="130"/>
      <c r="E14" s="130"/>
      <c r="F14" s="130"/>
      <c r="G14" s="130"/>
      <c r="H14" s="130"/>
      <c r="I14" s="131"/>
    </row>
    <row r="15" spans="1:9" s="1" customFormat="1" ht="15.75" thickBot="1" x14ac:dyDescent="0.3">
      <c r="A15" s="76" t="s">
        <v>21</v>
      </c>
      <c r="B15" s="27"/>
      <c r="C15" s="77" t="s">
        <v>22</v>
      </c>
      <c r="D15" s="76"/>
      <c r="E15" s="78"/>
      <c r="F15" s="79"/>
      <c r="G15" s="80">
        <f>ROUND((SUM(G16:G25)),2)</f>
        <v>1122.8</v>
      </c>
      <c r="H15" s="80">
        <f>(SUM(H16:H25))</f>
        <v>1490.0400000000002</v>
      </c>
      <c r="I15" s="80">
        <f>(SUM(I16:I25))</f>
        <v>1900.55</v>
      </c>
    </row>
    <row r="16" spans="1:9" ht="30.75" thickBot="1" x14ac:dyDescent="0.3">
      <c r="A16" s="15" t="s">
        <v>24</v>
      </c>
      <c r="B16" s="20" t="s">
        <v>34</v>
      </c>
      <c r="C16" s="16" t="s">
        <v>35</v>
      </c>
      <c r="D16" s="15" t="s">
        <v>11</v>
      </c>
      <c r="E16" s="17">
        <v>25</v>
      </c>
      <c r="F16" s="18">
        <f>TRUNC(9.25,2)</f>
        <v>9.25</v>
      </c>
      <c r="G16" s="19">
        <f>ROUND((F16+F16*$G$3),2)</f>
        <v>11.8</v>
      </c>
      <c r="H16" s="56">
        <f t="shared" ref="H16:H25" si="2">ROUND((F16*E16),2)</f>
        <v>231.25</v>
      </c>
      <c r="I16" s="56">
        <f>ROUND((G16*E16),2)</f>
        <v>295</v>
      </c>
    </row>
    <row r="17" spans="1:10" ht="15.75" thickBot="1" x14ac:dyDescent="0.3">
      <c r="A17" s="15" t="s">
        <v>25</v>
      </c>
      <c r="B17" s="20">
        <v>93358</v>
      </c>
      <c r="C17" s="16" t="s">
        <v>36</v>
      </c>
      <c r="D17" s="15" t="s">
        <v>37</v>
      </c>
      <c r="E17" s="17">
        <v>0.17</v>
      </c>
      <c r="F17" s="18">
        <f>TRUNC(61.43,2)</f>
        <v>61.43</v>
      </c>
      <c r="G17" s="19">
        <f t="shared" ref="G17:G25" si="3">ROUND((F17+F17*$G$3),2)</f>
        <v>78.349999999999994</v>
      </c>
      <c r="H17" s="56">
        <f t="shared" si="2"/>
        <v>10.44</v>
      </c>
      <c r="I17" s="56">
        <f t="shared" ref="I17:I25" si="4">ROUND((G17*E17),2)</f>
        <v>13.32</v>
      </c>
    </row>
    <row r="18" spans="1:10" ht="30.75" thickBot="1" x14ac:dyDescent="0.3">
      <c r="A18" s="15" t="s">
        <v>26</v>
      </c>
      <c r="B18" s="20">
        <v>101159</v>
      </c>
      <c r="C18" s="16" t="s">
        <v>180</v>
      </c>
      <c r="D18" s="15" t="s">
        <v>11</v>
      </c>
      <c r="E18" s="17">
        <v>0.84</v>
      </c>
      <c r="F18" s="18">
        <f>TRUNC(108.26,2)</f>
        <v>108.26</v>
      </c>
      <c r="G18" s="19">
        <f t="shared" si="3"/>
        <v>138.09</v>
      </c>
      <c r="H18" s="56">
        <f t="shared" si="2"/>
        <v>90.94</v>
      </c>
      <c r="I18" s="56">
        <f t="shared" si="4"/>
        <v>116</v>
      </c>
    </row>
    <row r="19" spans="1:10" ht="60.75" thickBot="1" x14ac:dyDescent="0.3">
      <c r="A19" s="15" t="s">
        <v>27</v>
      </c>
      <c r="B19" s="20">
        <v>87503</v>
      </c>
      <c r="C19" s="16" t="s">
        <v>38</v>
      </c>
      <c r="D19" s="15" t="s">
        <v>11</v>
      </c>
      <c r="E19" s="17">
        <v>1.68</v>
      </c>
      <c r="F19" s="25">
        <f>TRUNC(44.1,2)</f>
        <v>44.1</v>
      </c>
      <c r="G19" s="19">
        <f t="shared" si="3"/>
        <v>56.25</v>
      </c>
      <c r="H19" s="56">
        <f t="shared" si="2"/>
        <v>74.09</v>
      </c>
      <c r="I19" s="56">
        <f t="shared" si="4"/>
        <v>94.5</v>
      </c>
    </row>
    <row r="20" spans="1:10" ht="45.75" thickBot="1" x14ac:dyDescent="0.3">
      <c r="A20" s="15" t="s">
        <v>28</v>
      </c>
      <c r="B20" s="20">
        <v>87879</v>
      </c>
      <c r="C20" s="16" t="s">
        <v>39</v>
      </c>
      <c r="D20" s="15" t="s">
        <v>11</v>
      </c>
      <c r="E20" s="17">
        <v>3.36</v>
      </c>
      <c r="F20" s="18">
        <f>TRUNC(3.45,2)</f>
        <v>3.45</v>
      </c>
      <c r="G20" s="19">
        <f t="shared" si="3"/>
        <v>4.4000000000000004</v>
      </c>
      <c r="H20" s="56">
        <f t="shared" si="2"/>
        <v>11.59</v>
      </c>
      <c r="I20" s="56">
        <f t="shared" si="4"/>
        <v>14.78</v>
      </c>
    </row>
    <row r="21" spans="1:10" ht="60.75" thickBot="1" x14ac:dyDescent="0.3">
      <c r="A21" s="15" t="s">
        <v>29</v>
      </c>
      <c r="B21" s="20">
        <v>87529</v>
      </c>
      <c r="C21" s="16" t="s">
        <v>40</v>
      </c>
      <c r="D21" s="15" t="s">
        <v>11</v>
      </c>
      <c r="E21" s="17">
        <v>3.36</v>
      </c>
      <c r="F21" s="25">
        <f>TRUNC(29.81,2)</f>
        <v>29.81</v>
      </c>
      <c r="G21" s="19">
        <f t="shared" si="3"/>
        <v>38.020000000000003</v>
      </c>
      <c r="H21" s="56">
        <f t="shared" si="2"/>
        <v>100.16</v>
      </c>
      <c r="I21" s="56">
        <f t="shared" si="4"/>
        <v>127.75</v>
      </c>
    </row>
    <row r="22" spans="1:10" ht="30.75" thickBot="1" x14ac:dyDescent="0.3">
      <c r="A22" s="15" t="s">
        <v>30</v>
      </c>
      <c r="B22" s="20">
        <v>88489</v>
      </c>
      <c r="C22" s="16" t="s">
        <v>333</v>
      </c>
      <c r="D22" s="15" t="s">
        <v>11</v>
      </c>
      <c r="E22" s="17">
        <v>11.04</v>
      </c>
      <c r="F22" s="25">
        <f>TRUNC(12.94,2)</f>
        <v>12.94</v>
      </c>
      <c r="G22" s="19">
        <f t="shared" si="3"/>
        <v>16.5</v>
      </c>
      <c r="H22" s="56">
        <f t="shared" si="2"/>
        <v>142.86000000000001</v>
      </c>
      <c r="I22" s="56">
        <f t="shared" si="4"/>
        <v>182.16</v>
      </c>
    </row>
    <row r="23" spans="1:10" ht="45.75" thickBot="1" x14ac:dyDescent="0.3">
      <c r="A23" s="15" t="s">
        <v>31</v>
      </c>
      <c r="B23" s="20" t="s">
        <v>42</v>
      </c>
      <c r="C23" s="16" t="s">
        <v>41</v>
      </c>
      <c r="D23" s="15" t="s">
        <v>18</v>
      </c>
      <c r="E23" s="17">
        <v>1</v>
      </c>
      <c r="F23" s="25">
        <f>TRUNC(('[1]COMP. 02'!G16),2)</f>
        <v>0</v>
      </c>
      <c r="G23" s="19">
        <f t="shared" si="3"/>
        <v>0</v>
      </c>
      <c r="H23" s="56">
        <f t="shared" si="2"/>
        <v>0</v>
      </c>
      <c r="I23" s="56">
        <f t="shared" si="4"/>
        <v>0</v>
      </c>
    </row>
    <row r="24" spans="1:10" ht="15.75" thickBot="1" x14ac:dyDescent="0.3">
      <c r="A24" s="15" t="s">
        <v>32</v>
      </c>
      <c r="B24" s="20" t="s">
        <v>337</v>
      </c>
      <c r="C24" s="16" t="s">
        <v>43</v>
      </c>
      <c r="D24" s="15" t="s">
        <v>11</v>
      </c>
      <c r="E24" s="17">
        <v>1.28</v>
      </c>
      <c r="F24" s="18">
        <f>TRUNC(574.65,2)</f>
        <v>574.65</v>
      </c>
      <c r="G24" s="19">
        <f t="shared" si="3"/>
        <v>732.97</v>
      </c>
      <c r="H24" s="56">
        <f t="shared" si="2"/>
        <v>735.55</v>
      </c>
      <c r="I24" s="56">
        <f t="shared" si="4"/>
        <v>938.2</v>
      </c>
      <c r="J24" s="87"/>
    </row>
    <row r="25" spans="1:10" ht="30.75" thickBot="1" x14ac:dyDescent="0.3">
      <c r="A25" s="68" t="s">
        <v>33</v>
      </c>
      <c r="B25" s="69">
        <v>100761</v>
      </c>
      <c r="C25" s="57" t="s">
        <v>130</v>
      </c>
      <c r="D25" s="68" t="s">
        <v>11</v>
      </c>
      <c r="E25" s="70">
        <v>2.56</v>
      </c>
      <c r="F25" s="71">
        <f>TRUNC(36.39,2)</f>
        <v>36.39</v>
      </c>
      <c r="G25" s="19">
        <f t="shared" si="3"/>
        <v>46.42</v>
      </c>
      <c r="H25" s="56">
        <f t="shared" si="2"/>
        <v>93.16</v>
      </c>
      <c r="I25" s="56">
        <f t="shared" si="4"/>
        <v>118.84</v>
      </c>
    </row>
    <row r="26" spans="1:10" ht="15.75" thickBot="1" x14ac:dyDescent="0.3">
      <c r="A26" s="129"/>
      <c r="B26" s="130"/>
      <c r="C26" s="130"/>
      <c r="D26" s="130"/>
      <c r="E26" s="130"/>
      <c r="F26" s="130"/>
      <c r="G26" s="130"/>
      <c r="H26" s="130"/>
      <c r="I26" s="131"/>
    </row>
    <row r="27" spans="1:10" ht="15.75" thickBot="1" x14ac:dyDescent="0.3">
      <c r="A27" s="76" t="s">
        <v>23</v>
      </c>
      <c r="B27" s="27"/>
      <c r="C27" s="77" t="s">
        <v>44</v>
      </c>
      <c r="D27" s="76"/>
      <c r="E27" s="78"/>
      <c r="F27" s="79"/>
      <c r="G27" s="80">
        <f>ROUND((SUM(G28:G32)),2)</f>
        <v>3389.2</v>
      </c>
      <c r="H27" s="80">
        <f>(SUM(H28:H32))</f>
        <v>423.58000000000004</v>
      </c>
      <c r="I27" s="80">
        <f>(SUM(I28:I32))</f>
        <v>540.27</v>
      </c>
    </row>
    <row r="28" spans="1:10" ht="15.75" thickBot="1" x14ac:dyDescent="0.3">
      <c r="A28" s="15" t="s">
        <v>45</v>
      </c>
      <c r="B28" s="20">
        <v>93358</v>
      </c>
      <c r="C28" s="16" t="s">
        <v>36</v>
      </c>
      <c r="D28" s="15" t="s">
        <v>37</v>
      </c>
      <c r="E28" s="17">
        <v>0.32</v>
      </c>
      <c r="F28" s="25">
        <f>TRUNC(61.43,2)</f>
        <v>61.43</v>
      </c>
      <c r="G28" s="19">
        <f>ROUND((F28+F28*$G$3),2)</f>
        <v>78.349999999999994</v>
      </c>
      <c r="H28" s="56">
        <f t="shared" ref="H28:H32" si="5">ROUND((F28*E28),2)</f>
        <v>19.66</v>
      </c>
      <c r="I28" s="56">
        <f>ROUND((G28*E28),2)</f>
        <v>25.07</v>
      </c>
    </row>
    <row r="29" spans="1:10" ht="30.75" thickBot="1" x14ac:dyDescent="0.3">
      <c r="A29" s="15" t="s">
        <v>46</v>
      </c>
      <c r="B29" s="20">
        <v>101159</v>
      </c>
      <c r="C29" s="16" t="s">
        <v>180</v>
      </c>
      <c r="D29" s="15" t="s">
        <v>11</v>
      </c>
      <c r="E29" s="17">
        <v>1.1200000000000001</v>
      </c>
      <c r="F29" s="25">
        <f>TRUNC(108.26,2)</f>
        <v>108.26</v>
      </c>
      <c r="G29" s="19">
        <f t="shared" ref="G29:G32" si="6">ROUND((F29+F29*$G$3),2)</f>
        <v>138.09</v>
      </c>
      <c r="H29" s="56">
        <f t="shared" si="5"/>
        <v>121.25</v>
      </c>
      <c r="I29" s="56">
        <f t="shared" ref="I29:I32" si="7">ROUND((G29*E29),2)</f>
        <v>154.66</v>
      </c>
    </row>
    <row r="30" spans="1:10" ht="45.75" thickBot="1" x14ac:dyDescent="0.3">
      <c r="A30" s="15" t="s">
        <v>47</v>
      </c>
      <c r="B30" s="20">
        <v>87879</v>
      </c>
      <c r="C30" s="16" t="s">
        <v>39</v>
      </c>
      <c r="D30" s="15" t="s">
        <v>11</v>
      </c>
      <c r="E30" s="17">
        <v>1.1200000000000001</v>
      </c>
      <c r="F30" s="18">
        <f>TRUNC(3.45,2)</f>
        <v>3.45</v>
      </c>
      <c r="G30" s="19">
        <f t="shared" si="6"/>
        <v>4.4000000000000004</v>
      </c>
      <c r="H30" s="56">
        <f t="shared" si="5"/>
        <v>3.86</v>
      </c>
      <c r="I30" s="56">
        <f t="shared" si="7"/>
        <v>4.93</v>
      </c>
    </row>
    <row r="31" spans="1:10" ht="60.75" thickBot="1" x14ac:dyDescent="0.3">
      <c r="A31" s="15" t="s">
        <v>48</v>
      </c>
      <c r="B31" s="20">
        <v>87529</v>
      </c>
      <c r="C31" s="16" t="s">
        <v>40</v>
      </c>
      <c r="D31" s="15" t="s">
        <v>11</v>
      </c>
      <c r="E31" s="17">
        <v>1.1200000000000001</v>
      </c>
      <c r="F31" s="25">
        <f>TRUNC(29.81,2)</f>
        <v>29.81</v>
      </c>
      <c r="G31" s="19">
        <f t="shared" si="6"/>
        <v>38.020000000000003</v>
      </c>
      <c r="H31" s="56">
        <f t="shared" si="5"/>
        <v>33.39</v>
      </c>
      <c r="I31" s="56">
        <f t="shared" si="7"/>
        <v>42.58</v>
      </c>
    </row>
    <row r="32" spans="1:10" ht="45.75" thickBot="1" x14ac:dyDescent="0.3">
      <c r="A32" s="68" t="s">
        <v>49</v>
      </c>
      <c r="B32" s="69" t="s">
        <v>50</v>
      </c>
      <c r="C32" s="57" t="s">
        <v>51</v>
      </c>
      <c r="D32" s="68" t="s">
        <v>37</v>
      </c>
      <c r="E32" s="70">
        <v>0.1</v>
      </c>
      <c r="F32" s="72">
        <f>TRUNC(2454.21,2)</f>
        <v>2454.21</v>
      </c>
      <c r="G32" s="19">
        <f t="shared" si="6"/>
        <v>3130.34</v>
      </c>
      <c r="H32" s="56">
        <f t="shared" si="5"/>
        <v>245.42</v>
      </c>
      <c r="I32" s="56">
        <f t="shared" si="7"/>
        <v>313.02999999999997</v>
      </c>
    </row>
    <row r="33" spans="1:9" ht="15.75" thickBot="1" x14ac:dyDescent="0.3">
      <c r="A33" s="81"/>
      <c r="B33" s="82"/>
      <c r="C33" s="82"/>
      <c r="D33" s="82"/>
      <c r="E33" s="82"/>
      <c r="F33" s="82"/>
      <c r="G33" s="82"/>
      <c r="H33" s="67"/>
      <c r="I33" s="67"/>
    </row>
    <row r="34" spans="1:9" ht="15.75" thickBot="1" x14ac:dyDescent="0.3">
      <c r="A34" s="76" t="s">
        <v>52</v>
      </c>
      <c r="B34" s="27"/>
      <c r="C34" s="77" t="s">
        <v>63</v>
      </c>
      <c r="D34" s="76"/>
      <c r="E34" s="78"/>
      <c r="F34" s="79"/>
      <c r="G34" s="80">
        <f>ROUND((SUM(G35:G44)),2)</f>
        <v>1412.12</v>
      </c>
      <c r="H34" s="80">
        <f>(SUM(H35:H44))</f>
        <v>2864.0899999999997</v>
      </c>
      <c r="I34" s="80">
        <f>(SUM(I35:I44))</f>
        <v>3653.02</v>
      </c>
    </row>
    <row r="35" spans="1:9" ht="15.75" thickBot="1" x14ac:dyDescent="0.3">
      <c r="A35" s="15" t="s">
        <v>53</v>
      </c>
      <c r="B35" s="20">
        <v>93358</v>
      </c>
      <c r="C35" s="16" t="s">
        <v>36</v>
      </c>
      <c r="D35" s="15" t="s">
        <v>37</v>
      </c>
      <c r="E35" s="17">
        <v>0.18</v>
      </c>
      <c r="F35" s="25">
        <f>TRUNC(61.43,2)</f>
        <v>61.43</v>
      </c>
      <c r="G35" s="19">
        <f t="shared" ref="G35:G44" si="8">ROUND((F35+F35*$G$3),2)</f>
        <v>78.349999999999994</v>
      </c>
      <c r="H35" s="56">
        <f t="shared" ref="H35:H44" si="9">ROUND((F35*E35),2)</f>
        <v>11.06</v>
      </c>
      <c r="I35" s="56">
        <f t="shared" ref="I35:I44" si="10">ROUND((G35*E35),2)</f>
        <v>14.1</v>
      </c>
    </row>
    <row r="36" spans="1:9" ht="30.75" thickBot="1" x14ac:dyDescent="0.3">
      <c r="A36" s="15" t="s">
        <v>54</v>
      </c>
      <c r="B36" s="20">
        <v>101159</v>
      </c>
      <c r="C36" s="16" t="s">
        <v>180</v>
      </c>
      <c r="D36" s="15" t="s">
        <v>11</v>
      </c>
      <c r="E36" s="17">
        <v>1.32</v>
      </c>
      <c r="F36" s="25">
        <f>TRUNC(108.26,2)</f>
        <v>108.26</v>
      </c>
      <c r="G36" s="19">
        <f t="shared" si="8"/>
        <v>138.09</v>
      </c>
      <c r="H36" s="56">
        <f t="shared" si="9"/>
        <v>142.9</v>
      </c>
      <c r="I36" s="56">
        <f t="shared" si="10"/>
        <v>182.28</v>
      </c>
    </row>
    <row r="37" spans="1:9" ht="60.75" thickBot="1" x14ac:dyDescent="0.3">
      <c r="A37" s="15" t="s">
        <v>55</v>
      </c>
      <c r="B37" s="20">
        <v>87503</v>
      </c>
      <c r="C37" s="16" t="s">
        <v>38</v>
      </c>
      <c r="D37" s="15" t="s">
        <v>11</v>
      </c>
      <c r="E37" s="17">
        <v>6.76</v>
      </c>
      <c r="F37" s="25">
        <f>TRUNC(44.1,2)</f>
        <v>44.1</v>
      </c>
      <c r="G37" s="19">
        <f t="shared" si="8"/>
        <v>56.25</v>
      </c>
      <c r="H37" s="56">
        <f t="shared" si="9"/>
        <v>298.12</v>
      </c>
      <c r="I37" s="56">
        <f t="shared" si="10"/>
        <v>380.25</v>
      </c>
    </row>
    <row r="38" spans="1:9" ht="45.75" thickBot="1" x14ac:dyDescent="0.3">
      <c r="A38" s="15" t="s">
        <v>56</v>
      </c>
      <c r="B38" s="20">
        <v>87879</v>
      </c>
      <c r="C38" s="16" t="s">
        <v>39</v>
      </c>
      <c r="D38" s="15" t="s">
        <v>11</v>
      </c>
      <c r="E38" s="17">
        <v>19.3</v>
      </c>
      <c r="F38" s="25">
        <f>TRUNC(3.45,2)</f>
        <v>3.45</v>
      </c>
      <c r="G38" s="19">
        <f t="shared" si="8"/>
        <v>4.4000000000000004</v>
      </c>
      <c r="H38" s="56">
        <f t="shared" si="9"/>
        <v>66.59</v>
      </c>
      <c r="I38" s="56">
        <f t="shared" si="10"/>
        <v>84.92</v>
      </c>
    </row>
    <row r="39" spans="1:9" ht="60.75" thickBot="1" x14ac:dyDescent="0.3">
      <c r="A39" s="15" t="s">
        <v>57</v>
      </c>
      <c r="B39" s="20">
        <v>87529</v>
      </c>
      <c r="C39" s="16" t="s">
        <v>40</v>
      </c>
      <c r="D39" s="15" t="s">
        <v>11</v>
      </c>
      <c r="E39" s="17">
        <v>19.3</v>
      </c>
      <c r="F39" s="25">
        <f>TRUNC(29.81,2)</f>
        <v>29.81</v>
      </c>
      <c r="G39" s="19">
        <f t="shared" si="8"/>
        <v>38.020000000000003</v>
      </c>
      <c r="H39" s="56">
        <f t="shared" si="9"/>
        <v>575.33000000000004</v>
      </c>
      <c r="I39" s="56">
        <f t="shared" si="10"/>
        <v>733.79</v>
      </c>
    </row>
    <row r="40" spans="1:9" ht="30.75" thickBot="1" x14ac:dyDescent="0.3">
      <c r="A40" s="15" t="s">
        <v>58</v>
      </c>
      <c r="B40" s="20">
        <v>88489</v>
      </c>
      <c r="C40" s="16" t="s">
        <v>333</v>
      </c>
      <c r="D40" s="15" t="s">
        <v>11</v>
      </c>
      <c r="E40" s="17">
        <v>19.3</v>
      </c>
      <c r="F40" s="25">
        <f>TRUNC(12.94,2)</f>
        <v>12.94</v>
      </c>
      <c r="G40" s="19">
        <f t="shared" si="8"/>
        <v>16.5</v>
      </c>
      <c r="H40" s="56">
        <f t="shared" si="9"/>
        <v>249.74</v>
      </c>
      <c r="I40" s="56">
        <f t="shared" si="10"/>
        <v>318.45</v>
      </c>
    </row>
    <row r="41" spans="1:9" ht="30.75" thickBot="1" x14ac:dyDescent="0.3">
      <c r="A41" s="15" t="s">
        <v>59</v>
      </c>
      <c r="B41" s="20">
        <v>101964</v>
      </c>
      <c r="C41" s="16" t="s">
        <v>331</v>
      </c>
      <c r="D41" s="15" t="s">
        <v>11</v>
      </c>
      <c r="E41" s="17">
        <v>2.89</v>
      </c>
      <c r="F41" s="25">
        <f>TRUNC(150.92,2)</f>
        <v>150.91999999999999</v>
      </c>
      <c r="G41" s="19">
        <f t="shared" si="8"/>
        <v>192.5</v>
      </c>
      <c r="H41" s="56">
        <f t="shared" si="9"/>
        <v>436.16</v>
      </c>
      <c r="I41" s="56">
        <f t="shared" si="10"/>
        <v>556.33000000000004</v>
      </c>
    </row>
    <row r="42" spans="1:9" ht="15.75" thickBot="1" x14ac:dyDescent="0.3">
      <c r="A42" s="15" t="s">
        <v>60</v>
      </c>
      <c r="B42" s="20" t="s">
        <v>337</v>
      </c>
      <c r="C42" s="16" t="s">
        <v>43</v>
      </c>
      <c r="D42" s="15" t="s">
        <v>11</v>
      </c>
      <c r="E42" s="17">
        <v>1.28</v>
      </c>
      <c r="F42" s="18">
        <f>TRUNC(574.65,2)</f>
        <v>574.65</v>
      </c>
      <c r="G42" s="19">
        <f t="shared" si="8"/>
        <v>732.97</v>
      </c>
      <c r="H42" s="56">
        <f t="shared" si="9"/>
        <v>735.55</v>
      </c>
      <c r="I42" s="56">
        <f t="shared" si="10"/>
        <v>938.2</v>
      </c>
    </row>
    <row r="43" spans="1:9" ht="30.75" thickBot="1" x14ac:dyDescent="0.3">
      <c r="A43" s="15" t="s">
        <v>61</v>
      </c>
      <c r="B43" s="20">
        <v>100761</v>
      </c>
      <c r="C43" s="16" t="s">
        <v>130</v>
      </c>
      <c r="D43" s="15" t="s">
        <v>11</v>
      </c>
      <c r="E43" s="17">
        <v>2.56</v>
      </c>
      <c r="F43" s="18">
        <f>TRUNC(36.39,2)</f>
        <v>36.39</v>
      </c>
      <c r="G43" s="19">
        <f t="shared" si="8"/>
        <v>46.42</v>
      </c>
      <c r="H43" s="56">
        <f t="shared" si="9"/>
        <v>93.16</v>
      </c>
      <c r="I43" s="56">
        <f t="shared" si="10"/>
        <v>118.84</v>
      </c>
    </row>
    <row r="44" spans="1:9" ht="45.75" thickBot="1" x14ac:dyDescent="0.3">
      <c r="A44" s="15" t="s">
        <v>62</v>
      </c>
      <c r="B44" s="20">
        <v>94994</v>
      </c>
      <c r="C44" s="16" t="s">
        <v>64</v>
      </c>
      <c r="D44" s="15" t="s">
        <v>11</v>
      </c>
      <c r="E44" s="17">
        <v>3</v>
      </c>
      <c r="F44" s="25">
        <f>TRUNC(85.16,2)</f>
        <v>85.16</v>
      </c>
      <c r="G44" s="19">
        <f t="shared" si="8"/>
        <v>108.62</v>
      </c>
      <c r="H44" s="56">
        <f t="shared" si="9"/>
        <v>255.48</v>
      </c>
      <c r="I44" s="56">
        <f t="shared" si="10"/>
        <v>325.86</v>
      </c>
    </row>
    <row r="45" spans="1:9" ht="15.75" thickBot="1" x14ac:dyDescent="0.3">
      <c r="A45" s="129"/>
      <c r="B45" s="130"/>
      <c r="C45" s="130"/>
      <c r="D45" s="130"/>
      <c r="E45" s="130"/>
      <c r="F45" s="130"/>
      <c r="G45" s="130"/>
      <c r="H45" s="130"/>
      <c r="I45" s="131"/>
    </row>
    <row r="46" spans="1:9" ht="15.75" thickBot="1" x14ac:dyDescent="0.3">
      <c r="A46" s="13" t="s">
        <v>65</v>
      </c>
      <c r="B46" s="55"/>
      <c r="C46" s="128" t="s">
        <v>72</v>
      </c>
      <c r="D46" s="128"/>
      <c r="E46" s="128"/>
      <c r="F46" s="128"/>
      <c r="G46" s="14">
        <f>ROUND((SUM(G48,G55,G76)),2)</f>
        <v>5689.09</v>
      </c>
      <c r="H46" s="14">
        <f>(SUM(H48,H55,H76))</f>
        <v>5937.9599999999991</v>
      </c>
      <c r="I46" s="14">
        <f>(SUM(I48,I55,I76))</f>
        <v>7573.880000000001</v>
      </c>
    </row>
    <row r="47" spans="1:9" ht="15.75" thickBot="1" x14ac:dyDescent="0.3">
      <c r="A47" s="129"/>
      <c r="B47" s="130"/>
      <c r="C47" s="130"/>
      <c r="D47" s="130"/>
      <c r="E47" s="130"/>
      <c r="F47" s="130"/>
      <c r="G47" s="130"/>
      <c r="H47" s="130"/>
      <c r="I47" s="131"/>
    </row>
    <row r="48" spans="1:9" ht="15.75" thickBot="1" x14ac:dyDescent="0.3">
      <c r="A48" s="13" t="s">
        <v>66</v>
      </c>
      <c r="B48" s="55"/>
      <c r="C48" s="22" t="s">
        <v>336</v>
      </c>
      <c r="D48" s="13"/>
      <c r="E48" s="23"/>
      <c r="F48" s="24"/>
      <c r="G48" s="14">
        <f>ROUND((SUM(G49:G53)),2)</f>
        <v>807.69</v>
      </c>
      <c r="H48" s="14">
        <f>(SUM(H49:H53))</f>
        <v>1202.82</v>
      </c>
      <c r="I48" s="14">
        <f>(SUM(I49:I53))</f>
        <v>1534.2</v>
      </c>
    </row>
    <row r="49" spans="1:9" ht="30.75" thickBot="1" x14ac:dyDescent="0.3">
      <c r="A49" s="15" t="s">
        <v>67</v>
      </c>
      <c r="B49" s="20" t="s">
        <v>34</v>
      </c>
      <c r="C49" s="16" t="s">
        <v>35</v>
      </c>
      <c r="D49" s="15" t="s">
        <v>11</v>
      </c>
      <c r="E49" s="17">
        <v>25</v>
      </c>
      <c r="F49" s="18">
        <f>TRUNC(9.25,2)</f>
        <v>9.25</v>
      </c>
      <c r="G49" s="19">
        <f t="shared" ref="G49:G53" si="11">ROUND((F49+F49*$G$3),2)</f>
        <v>11.8</v>
      </c>
      <c r="H49" s="56">
        <f>ROUND((F49*E49),2)</f>
        <v>231.25</v>
      </c>
      <c r="I49" s="56">
        <f t="shared" ref="I49:I53" si="12">ROUND((G49*E49),2)</f>
        <v>295</v>
      </c>
    </row>
    <row r="50" spans="1:9" ht="45.75" thickBot="1" x14ac:dyDescent="0.3">
      <c r="A50" s="15" t="s">
        <v>68</v>
      </c>
      <c r="B50" s="20" t="s">
        <v>334</v>
      </c>
      <c r="C50" s="16" t="s">
        <v>41</v>
      </c>
      <c r="D50" s="15" t="s">
        <v>18</v>
      </c>
      <c r="E50" s="17">
        <v>1</v>
      </c>
      <c r="F50" s="25">
        <f>TRUNC((COMPOSIÇÕES!G53),2)</f>
        <v>0</v>
      </c>
      <c r="G50" s="19">
        <f t="shared" si="11"/>
        <v>0</v>
      </c>
      <c r="H50" s="56">
        <f t="shared" ref="H50:H53" si="13">ROUND((F50*E50),2)</f>
        <v>0</v>
      </c>
      <c r="I50" s="56">
        <f t="shared" si="12"/>
        <v>0</v>
      </c>
    </row>
    <row r="51" spans="1:9" ht="30.75" thickBot="1" x14ac:dyDescent="0.3">
      <c r="A51" s="15" t="s">
        <v>69</v>
      </c>
      <c r="B51" s="20">
        <v>88489</v>
      </c>
      <c r="C51" s="16" t="s">
        <v>333</v>
      </c>
      <c r="D51" s="15" t="s">
        <v>11</v>
      </c>
      <c r="E51" s="17">
        <v>11.04</v>
      </c>
      <c r="F51" s="25">
        <f>TRUNC(12.94,2)</f>
        <v>12.94</v>
      </c>
      <c r="G51" s="19">
        <f t="shared" si="11"/>
        <v>16.5</v>
      </c>
      <c r="H51" s="56">
        <f t="shared" si="13"/>
        <v>142.86000000000001</v>
      </c>
      <c r="I51" s="56">
        <f t="shared" si="12"/>
        <v>182.16</v>
      </c>
    </row>
    <row r="52" spans="1:9" ht="15.75" thickBot="1" x14ac:dyDescent="0.3">
      <c r="A52" s="15" t="s">
        <v>70</v>
      </c>
      <c r="B52" s="20" t="s">
        <v>337</v>
      </c>
      <c r="C52" s="16" t="s">
        <v>43</v>
      </c>
      <c r="D52" s="15" t="s">
        <v>11</v>
      </c>
      <c r="E52" s="17">
        <v>1.28</v>
      </c>
      <c r="F52" s="18">
        <f>TRUNC(574.65,2)</f>
        <v>574.65</v>
      </c>
      <c r="G52" s="19">
        <f t="shared" si="11"/>
        <v>732.97</v>
      </c>
      <c r="H52" s="56">
        <f t="shared" si="13"/>
        <v>735.55</v>
      </c>
      <c r="I52" s="56">
        <f t="shared" si="12"/>
        <v>938.2</v>
      </c>
    </row>
    <row r="53" spans="1:9" ht="30.75" thickBot="1" x14ac:dyDescent="0.3">
      <c r="A53" s="15" t="s">
        <v>71</v>
      </c>
      <c r="B53" s="20">
        <v>100761</v>
      </c>
      <c r="C53" s="16" t="s">
        <v>130</v>
      </c>
      <c r="D53" s="15" t="s">
        <v>11</v>
      </c>
      <c r="E53" s="17">
        <v>2.56</v>
      </c>
      <c r="F53" s="25">
        <f>TRUNC(36.39,2)</f>
        <v>36.39</v>
      </c>
      <c r="G53" s="19">
        <f t="shared" si="11"/>
        <v>46.42</v>
      </c>
      <c r="H53" s="56">
        <f t="shared" si="13"/>
        <v>93.16</v>
      </c>
      <c r="I53" s="56">
        <f t="shared" si="12"/>
        <v>118.84</v>
      </c>
    </row>
    <row r="54" spans="1:9" ht="15.75" thickBot="1" x14ac:dyDescent="0.3">
      <c r="A54" s="129"/>
      <c r="B54" s="130"/>
      <c r="C54" s="130"/>
      <c r="D54" s="130"/>
      <c r="E54" s="130"/>
      <c r="F54" s="130"/>
      <c r="G54" s="130"/>
      <c r="H54" s="130"/>
      <c r="I54" s="131"/>
    </row>
    <row r="55" spans="1:9" ht="15.75" thickBot="1" x14ac:dyDescent="0.3">
      <c r="A55" s="13" t="s">
        <v>73</v>
      </c>
      <c r="B55" s="55"/>
      <c r="C55" s="22" t="s">
        <v>74</v>
      </c>
      <c r="D55" s="13"/>
      <c r="E55" s="23"/>
      <c r="F55" s="24"/>
      <c r="G55" s="14">
        <f>ROUND((SUM(G56:G74)),2)</f>
        <v>4667.33</v>
      </c>
      <c r="H55" s="14">
        <f>(SUM(H56:H74))</f>
        <v>4567.3099999999995</v>
      </c>
      <c r="I55" s="14">
        <f>(SUM(I56:I74))</f>
        <v>5825.6100000000015</v>
      </c>
    </row>
    <row r="56" spans="1:9" ht="15.75" thickBot="1" x14ac:dyDescent="0.3">
      <c r="A56" s="15" t="s">
        <v>75</v>
      </c>
      <c r="B56" s="20">
        <v>93358</v>
      </c>
      <c r="C56" s="16" t="s">
        <v>36</v>
      </c>
      <c r="D56" s="15" t="s">
        <v>37</v>
      </c>
      <c r="E56" s="17">
        <v>0.94</v>
      </c>
      <c r="F56" s="25">
        <f>TRUNC(61.43,2)</f>
        <v>61.43</v>
      </c>
      <c r="G56" s="19">
        <f t="shared" ref="G56:G74" si="14">ROUND((F56+F56*$G$3),2)</f>
        <v>78.349999999999994</v>
      </c>
      <c r="H56" s="56">
        <f t="shared" ref="H56:H74" si="15">ROUND((F56*E56),2)</f>
        <v>57.74</v>
      </c>
      <c r="I56" s="56">
        <f t="shared" ref="I56:I74" si="16">ROUND((G56*E56),2)</f>
        <v>73.650000000000006</v>
      </c>
    </row>
    <row r="57" spans="1:9" ht="30.75" thickBot="1" x14ac:dyDescent="0.3">
      <c r="A57" s="15" t="s">
        <v>76</v>
      </c>
      <c r="B57" s="20">
        <v>101159</v>
      </c>
      <c r="C57" s="16" t="s">
        <v>180</v>
      </c>
      <c r="D57" s="15" t="s">
        <v>11</v>
      </c>
      <c r="E57" s="17">
        <v>5.65</v>
      </c>
      <c r="F57" s="25">
        <f>TRUNC(108.26,2)</f>
        <v>108.26</v>
      </c>
      <c r="G57" s="19">
        <f t="shared" si="14"/>
        <v>138.09</v>
      </c>
      <c r="H57" s="56">
        <f t="shared" si="15"/>
        <v>611.66999999999996</v>
      </c>
      <c r="I57" s="56">
        <f t="shared" si="16"/>
        <v>780.21</v>
      </c>
    </row>
    <row r="58" spans="1:9" ht="45.75" thickBot="1" x14ac:dyDescent="0.3">
      <c r="A58" s="15" t="s">
        <v>77</v>
      </c>
      <c r="B58" s="20">
        <v>87879</v>
      </c>
      <c r="C58" s="16" t="s">
        <v>39</v>
      </c>
      <c r="D58" s="15" t="s">
        <v>11</v>
      </c>
      <c r="E58" s="17">
        <v>4.6500000000000004</v>
      </c>
      <c r="F58" s="25">
        <f>TRUNC(3.45,2)</f>
        <v>3.45</v>
      </c>
      <c r="G58" s="19">
        <f t="shared" si="14"/>
        <v>4.4000000000000004</v>
      </c>
      <c r="H58" s="56">
        <f t="shared" si="15"/>
        <v>16.04</v>
      </c>
      <c r="I58" s="56">
        <f t="shared" si="16"/>
        <v>20.46</v>
      </c>
    </row>
    <row r="59" spans="1:9" ht="60.75" thickBot="1" x14ac:dyDescent="0.3">
      <c r="A59" s="15" t="s">
        <v>78</v>
      </c>
      <c r="B59" s="20">
        <v>87529</v>
      </c>
      <c r="C59" s="16" t="s">
        <v>40</v>
      </c>
      <c r="D59" s="15" t="s">
        <v>11</v>
      </c>
      <c r="E59" s="17">
        <v>5.65</v>
      </c>
      <c r="F59" s="25">
        <f>TRUNC(29.81,2)</f>
        <v>29.81</v>
      </c>
      <c r="G59" s="19">
        <f t="shared" si="14"/>
        <v>38.020000000000003</v>
      </c>
      <c r="H59" s="56">
        <f t="shared" si="15"/>
        <v>168.43</v>
      </c>
      <c r="I59" s="56">
        <f t="shared" si="16"/>
        <v>214.81</v>
      </c>
    </row>
    <row r="60" spans="1:9" ht="30.75" thickBot="1" x14ac:dyDescent="0.3">
      <c r="A60" s="15" t="s">
        <v>79</v>
      </c>
      <c r="B60" s="20">
        <v>88489</v>
      </c>
      <c r="C60" s="16" t="s">
        <v>333</v>
      </c>
      <c r="D60" s="15" t="s">
        <v>11</v>
      </c>
      <c r="E60" s="17">
        <v>5.65</v>
      </c>
      <c r="F60" s="25">
        <f>TRUNC(12.94,2)</f>
        <v>12.94</v>
      </c>
      <c r="G60" s="19">
        <f t="shared" si="14"/>
        <v>16.5</v>
      </c>
      <c r="H60" s="56">
        <f t="shared" si="15"/>
        <v>73.11</v>
      </c>
      <c r="I60" s="56">
        <f t="shared" si="16"/>
        <v>93.23</v>
      </c>
    </row>
    <row r="61" spans="1:9" ht="30.75" thickBot="1" x14ac:dyDescent="0.3">
      <c r="A61" s="15" t="s">
        <v>80</v>
      </c>
      <c r="B61" s="20">
        <v>96622</v>
      </c>
      <c r="C61" s="16" t="s">
        <v>332</v>
      </c>
      <c r="D61" s="15" t="s">
        <v>37</v>
      </c>
      <c r="E61" s="17">
        <v>1.33</v>
      </c>
      <c r="F61" s="25">
        <f>TRUNC(148.85,2)</f>
        <v>148.85</v>
      </c>
      <c r="G61" s="19">
        <f t="shared" si="14"/>
        <v>189.86</v>
      </c>
      <c r="H61" s="56">
        <f t="shared" si="15"/>
        <v>197.97</v>
      </c>
      <c r="I61" s="56">
        <f t="shared" si="16"/>
        <v>252.51</v>
      </c>
    </row>
    <row r="62" spans="1:9" ht="30.75" thickBot="1" x14ac:dyDescent="0.3">
      <c r="A62" s="15" t="s">
        <v>81</v>
      </c>
      <c r="B62" s="20" t="s">
        <v>82</v>
      </c>
      <c r="C62" s="16" t="s">
        <v>83</v>
      </c>
      <c r="D62" s="15" t="s">
        <v>18</v>
      </c>
      <c r="E62" s="17">
        <v>1</v>
      </c>
      <c r="F62" s="25">
        <f>TRUNC(2952.61,2)</f>
        <v>2952.61</v>
      </c>
      <c r="G62" s="19">
        <f t="shared" si="14"/>
        <v>3766.05</v>
      </c>
      <c r="H62" s="56">
        <f t="shared" si="15"/>
        <v>2952.61</v>
      </c>
      <c r="I62" s="56">
        <f t="shared" si="16"/>
        <v>3766.05</v>
      </c>
    </row>
    <row r="63" spans="1:9" ht="15.75" thickBot="1" x14ac:dyDescent="0.3">
      <c r="A63" s="15" t="s">
        <v>84</v>
      </c>
      <c r="B63" s="20"/>
      <c r="C63" s="16" t="s">
        <v>85</v>
      </c>
      <c r="D63" s="15"/>
      <c r="E63" s="17"/>
      <c r="F63" s="18"/>
      <c r="G63" s="19"/>
      <c r="H63" s="56">
        <f t="shared" si="15"/>
        <v>0</v>
      </c>
      <c r="I63" s="56"/>
    </row>
    <row r="64" spans="1:9" ht="15.75" thickBot="1" x14ac:dyDescent="0.3">
      <c r="A64" s="15" t="s">
        <v>86</v>
      </c>
      <c r="B64" s="20">
        <v>93358</v>
      </c>
      <c r="C64" s="16" t="s">
        <v>36</v>
      </c>
      <c r="D64" s="15" t="s">
        <v>37</v>
      </c>
      <c r="E64" s="17">
        <v>0.08</v>
      </c>
      <c r="F64" s="25">
        <f>TRUNC(61.43,2)</f>
        <v>61.43</v>
      </c>
      <c r="G64" s="19">
        <f t="shared" si="14"/>
        <v>78.349999999999994</v>
      </c>
      <c r="H64" s="56">
        <f t="shared" si="15"/>
        <v>4.91</v>
      </c>
      <c r="I64" s="56">
        <f t="shared" si="16"/>
        <v>6.27</v>
      </c>
    </row>
    <row r="65" spans="1:9" ht="30.75" thickBot="1" x14ac:dyDescent="0.3">
      <c r="A65" s="15" t="s">
        <v>87</v>
      </c>
      <c r="B65" s="20">
        <v>101159</v>
      </c>
      <c r="C65" s="16" t="s">
        <v>180</v>
      </c>
      <c r="D65" s="15" t="s">
        <v>11</v>
      </c>
      <c r="E65" s="17">
        <v>0.24</v>
      </c>
      <c r="F65" s="25">
        <f>TRUNC(108.26,2)</f>
        <v>108.26</v>
      </c>
      <c r="G65" s="19">
        <f t="shared" si="14"/>
        <v>138.09</v>
      </c>
      <c r="H65" s="56">
        <f t="shared" si="15"/>
        <v>25.98</v>
      </c>
      <c r="I65" s="56">
        <f t="shared" si="16"/>
        <v>33.14</v>
      </c>
    </row>
    <row r="66" spans="1:9" ht="60.75" thickBot="1" x14ac:dyDescent="0.3">
      <c r="A66" s="15" t="s">
        <v>88</v>
      </c>
      <c r="B66" s="20">
        <v>87503</v>
      </c>
      <c r="C66" s="16" t="s">
        <v>38</v>
      </c>
      <c r="D66" s="15" t="s">
        <v>11</v>
      </c>
      <c r="E66" s="17">
        <f>0.96+1.68</f>
        <v>2.6399999999999997</v>
      </c>
      <c r="F66" s="25">
        <f>TRUNC(44.1,2)</f>
        <v>44.1</v>
      </c>
      <c r="G66" s="19">
        <f t="shared" si="14"/>
        <v>56.25</v>
      </c>
      <c r="H66" s="56">
        <f t="shared" si="15"/>
        <v>116.42</v>
      </c>
      <c r="I66" s="56">
        <f t="shared" si="16"/>
        <v>148.5</v>
      </c>
    </row>
    <row r="67" spans="1:9" ht="45.75" thickBot="1" x14ac:dyDescent="0.3">
      <c r="A67" s="15" t="s">
        <v>89</v>
      </c>
      <c r="B67" s="20">
        <v>87879</v>
      </c>
      <c r="C67" s="16" t="s">
        <v>39</v>
      </c>
      <c r="D67" s="15" t="s">
        <v>11</v>
      </c>
      <c r="E67" s="17">
        <v>2.34</v>
      </c>
      <c r="F67" s="18">
        <f>TRUNC(3.45,2)</f>
        <v>3.45</v>
      </c>
      <c r="G67" s="19">
        <f t="shared" si="14"/>
        <v>4.4000000000000004</v>
      </c>
      <c r="H67" s="56">
        <f t="shared" si="15"/>
        <v>8.07</v>
      </c>
      <c r="I67" s="56">
        <f t="shared" si="16"/>
        <v>10.3</v>
      </c>
    </row>
    <row r="68" spans="1:9" ht="60.75" thickBot="1" x14ac:dyDescent="0.3">
      <c r="A68" s="15" t="s">
        <v>90</v>
      </c>
      <c r="B68" s="20">
        <v>87529</v>
      </c>
      <c r="C68" s="16" t="s">
        <v>40</v>
      </c>
      <c r="D68" s="15" t="s">
        <v>11</v>
      </c>
      <c r="E68" s="17">
        <v>2.34</v>
      </c>
      <c r="F68" s="25">
        <f>TRUNC(29.81,2)</f>
        <v>29.81</v>
      </c>
      <c r="G68" s="19">
        <f t="shared" si="14"/>
        <v>38.020000000000003</v>
      </c>
      <c r="H68" s="56">
        <f t="shared" si="15"/>
        <v>69.760000000000005</v>
      </c>
      <c r="I68" s="56">
        <f t="shared" si="16"/>
        <v>88.97</v>
      </c>
    </row>
    <row r="69" spans="1:9" ht="30.75" thickBot="1" x14ac:dyDescent="0.3">
      <c r="A69" s="15" t="s">
        <v>91</v>
      </c>
      <c r="B69" s="20">
        <v>88489</v>
      </c>
      <c r="C69" s="16" t="s">
        <v>333</v>
      </c>
      <c r="D69" s="15" t="s">
        <v>11</v>
      </c>
      <c r="E69" s="17">
        <v>2.34</v>
      </c>
      <c r="F69" s="18">
        <f>TRUNC(12.94,2)</f>
        <v>12.94</v>
      </c>
      <c r="G69" s="19">
        <f t="shared" si="14"/>
        <v>16.5</v>
      </c>
      <c r="H69" s="56">
        <f t="shared" si="15"/>
        <v>30.28</v>
      </c>
      <c r="I69" s="56">
        <f t="shared" si="16"/>
        <v>38.61</v>
      </c>
    </row>
    <row r="70" spans="1:9" ht="30.75" thickBot="1" x14ac:dyDescent="0.3">
      <c r="A70" s="15" t="s">
        <v>92</v>
      </c>
      <c r="B70" s="20" t="s">
        <v>132</v>
      </c>
      <c r="C70" s="16" t="s">
        <v>97</v>
      </c>
      <c r="D70" s="15" t="s">
        <v>15</v>
      </c>
      <c r="E70" s="17">
        <v>4.08</v>
      </c>
      <c r="F70" s="18">
        <f>TRUNC(19.73,2)</f>
        <v>19.73</v>
      </c>
      <c r="G70" s="19">
        <f t="shared" si="14"/>
        <v>25.17</v>
      </c>
      <c r="H70" s="56">
        <f t="shared" si="15"/>
        <v>80.5</v>
      </c>
      <c r="I70" s="56">
        <f t="shared" si="16"/>
        <v>102.69</v>
      </c>
    </row>
    <row r="71" spans="1:9" ht="30.75" thickBot="1" x14ac:dyDescent="0.3">
      <c r="A71" s="15" t="s">
        <v>93</v>
      </c>
      <c r="B71" s="20">
        <v>89355</v>
      </c>
      <c r="C71" s="16" t="s">
        <v>98</v>
      </c>
      <c r="D71" s="15" t="s">
        <v>15</v>
      </c>
      <c r="E71" s="17">
        <v>4</v>
      </c>
      <c r="F71" s="18">
        <f>TRUNC(15.39,2)</f>
        <v>15.39</v>
      </c>
      <c r="G71" s="19">
        <f t="shared" si="14"/>
        <v>19.63</v>
      </c>
      <c r="H71" s="56">
        <f t="shared" si="15"/>
        <v>61.56</v>
      </c>
      <c r="I71" s="56">
        <f t="shared" si="16"/>
        <v>78.52</v>
      </c>
    </row>
    <row r="72" spans="1:9" ht="15.75" thickBot="1" x14ac:dyDescent="0.3">
      <c r="A72" s="15" t="s">
        <v>94</v>
      </c>
      <c r="B72" s="20" t="s">
        <v>99</v>
      </c>
      <c r="C72" s="16" t="s">
        <v>100</v>
      </c>
      <c r="D72" s="15" t="s">
        <v>18</v>
      </c>
      <c r="E72" s="17">
        <v>1</v>
      </c>
      <c r="F72" s="18">
        <f>TRUNC(5.77,2)</f>
        <v>5.77</v>
      </c>
      <c r="G72" s="19">
        <f t="shared" si="14"/>
        <v>7.36</v>
      </c>
      <c r="H72" s="56">
        <f t="shared" si="15"/>
        <v>5.77</v>
      </c>
      <c r="I72" s="56">
        <f t="shared" si="16"/>
        <v>7.36</v>
      </c>
    </row>
    <row r="73" spans="1:9" ht="15.75" thickBot="1" x14ac:dyDescent="0.3">
      <c r="A73" s="15" t="s">
        <v>95</v>
      </c>
      <c r="B73" s="20">
        <v>86916</v>
      </c>
      <c r="C73" s="16" t="s">
        <v>101</v>
      </c>
      <c r="D73" s="15" t="s">
        <v>18</v>
      </c>
      <c r="E73" s="17">
        <v>3</v>
      </c>
      <c r="F73" s="18">
        <f>TRUNC(22.75,2)</f>
        <v>22.75</v>
      </c>
      <c r="G73" s="19">
        <f t="shared" si="14"/>
        <v>29.02</v>
      </c>
      <c r="H73" s="56">
        <f t="shared" si="15"/>
        <v>68.25</v>
      </c>
      <c r="I73" s="56">
        <f t="shared" si="16"/>
        <v>87.06</v>
      </c>
    </row>
    <row r="74" spans="1:9" ht="30.75" thickBot="1" x14ac:dyDescent="0.3">
      <c r="A74" s="15" t="s">
        <v>96</v>
      </c>
      <c r="B74" s="20">
        <v>94489</v>
      </c>
      <c r="C74" s="16" t="s">
        <v>102</v>
      </c>
      <c r="D74" s="15" t="s">
        <v>18</v>
      </c>
      <c r="E74" s="17">
        <v>1</v>
      </c>
      <c r="F74" s="18">
        <f>TRUNC(18.24,2)</f>
        <v>18.239999999999998</v>
      </c>
      <c r="G74" s="19">
        <f t="shared" si="14"/>
        <v>23.27</v>
      </c>
      <c r="H74" s="56">
        <f t="shared" si="15"/>
        <v>18.239999999999998</v>
      </c>
      <c r="I74" s="56">
        <f t="shared" si="16"/>
        <v>23.27</v>
      </c>
    </row>
    <row r="75" spans="1:9" ht="15.75" thickBot="1" x14ac:dyDescent="0.3">
      <c r="A75" s="129"/>
      <c r="B75" s="130"/>
      <c r="C75" s="130"/>
      <c r="D75" s="130"/>
      <c r="E75" s="130"/>
      <c r="F75" s="130"/>
      <c r="G75" s="130"/>
      <c r="H75" s="130"/>
      <c r="I75" s="131"/>
    </row>
    <row r="76" spans="1:9" ht="15.75" thickBot="1" x14ac:dyDescent="0.3">
      <c r="A76" s="13" t="s">
        <v>103</v>
      </c>
      <c r="B76" s="55"/>
      <c r="C76" s="22" t="s">
        <v>104</v>
      </c>
      <c r="D76" s="13"/>
      <c r="E76" s="23"/>
      <c r="F76" s="24"/>
      <c r="G76" s="14">
        <f>ROUND((SUM(G77:G77)),2)</f>
        <v>214.07</v>
      </c>
      <c r="H76" s="14">
        <f>SUM(H77:H77)</f>
        <v>167.83</v>
      </c>
      <c r="I76" s="14">
        <f>SUM(I77:I77)</f>
        <v>214.07</v>
      </c>
    </row>
    <row r="77" spans="1:9" ht="30.75" thickBot="1" x14ac:dyDescent="0.3">
      <c r="A77" s="15" t="s">
        <v>105</v>
      </c>
      <c r="B77" s="20">
        <v>97895</v>
      </c>
      <c r="C77" s="16" t="s">
        <v>359</v>
      </c>
      <c r="D77" s="15" t="s">
        <v>18</v>
      </c>
      <c r="E77" s="17">
        <v>1</v>
      </c>
      <c r="F77" s="18">
        <f>TRUNC(167.83,2)</f>
        <v>167.83</v>
      </c>
      <c r="G77" s="19">
        <f t="shared" ref="G77" si="17">ROUND((F77+F77*$G$3),2)</f>
        <v>214.07</v>
      </c>
      <c r="H77" s="56">
        <f t="shared" ref="H77" si="18">ROUND((F77*E77),2)</f>
        <v>167.83</v>
      </c>
      <c r="I77" s="56">
        <f t="shared" ref="I77" si="19">ROUND((G77*E77),2)</f>
        <v>214.07</v>
      </c>
    </row>
    <row r="78" spans="1:9" ht="15.75" thickBot="1" x14ac:dyDescent="0.3">
      <c r="A78" s="129"/>
      <c r="B78" s="130"/>
      <c r="C78" s="130"/>
      <c r="D78" s="130"/>
      <c r="E78" s="130"/>
      <c r="F78" s="130"/>
      <c r="G78" s="130"/>
      <c r="H78" s="130"/>
      <c r="I78" s="131"/>
    </row>
    <row r="79" spans="1:9" ht="15.75" thickBot="1" x14ac:dyDescent="0.3">
      <c r="A79" s="13" t="s">
        <v>106</v>
      </c>
      <c r="B79" s="55"/>
      <c r="C79" s="128" t="s">
        <v>107</v>
      </c>
      <c r="D79" s="128"/>
      <c r="E79" s="128"/>
      <c r="F79" s="128"/>
      <c r="G79" s="14">
        <f>ROUND((SUM(G81:G89)),2)</f>
        <v>422.53</v>
      </c>
      <c r="H79" s="14">
        <f>SUM(H81:H89)</f>
        <v>1505.3100000000002</v>
      </c>
      <c r="I79" s="14">
        <f>SUM(I81:I89)</f>
        <v>1920.04</v>
      </c>
    </row>
    <row r="80" spans="1:9" ht="15.75" thickBot="1" x14ac:dyDescent="0.3">
      <c r="A80" s="129"/>
      <c r="B80" s="130"/>
      <c r="C80" s="130"/>
      <c r="D80" s="130"/>
      <c r="E80" s="130"/>
      <c r="F80" s="130"/>
      <c r="G80" s="130"/>
      <c r="H80" s="130"/>
      <c r="I80" s="131"/>
    </row>
    <row r="81" spans="1:12" ht="15.75" thickBot="1" x14ac:dyDescent="0.3">
      <c r="A81" s="15" t="s">
        <v>108</v>
      </c>
      <c r="B81" s="20">
        <v>99063</v>
      </c>
      <c r="C81" s="16" t="s">
        <v>117</v>
      </c>
      <c r="D81" s="15" t="s">
        <v>15</v>
      </c>
      <c r="E81" s="17">
        <f>E86</f>
        <v>50</v>
      </c>
      <c r="F81" s="18">
        <f>TRUNC(4.18,2)</f>
        <v>4.18</v>
      </c>
      <c r="G81" s="19">
        <f t="shared" ref="G81:G89" si="20">ROUND((F81+F81*$G$3),2)</f>
        <v>5.33</v>
      </c>
      <c r="H81" s="56">
        <f t="shared" ref="H81:H89" si="21">ROUND((F81*E81),2)</f>
        <v>209</v>
      </c>
      <c r="I81" s="56">
        <f t="shared" ref="I81:I89" si="22">ROUND((G81*E81),2)</f>
        <v>266.5</v>
      </c>
    </row>
    <row r="82" spans="1:12" ht="75.75" thickBot="1" x14ac:dyDescent="0.3">
      <c r="A82" s="15" t="s">
        <v>109</v>
      </c>
      <c r="B82" s="20">
        <v>90105</v>
      </c>
      <c r="C82" s="16" t="s">
        <v>118</v>
      </c>
      <c r="D82" s="15" t="s">
        <v>37</v>
      </c>
      <c r="E82" s="17">
        <f>E86*0.5*0.55</f>
        <v>13.750000000000002</v>
      </c>
      <c r="F82" s="25">
        <f>TRUNC(7.49,2)</f>
        <v>7.49</v>
      </c>
      <c r="G82" s="19">
        <f t="shared" si="20"/>
        <v>9.5500000000000007</v>
      </c>
      <c r="H82" s="56">
        <f t="shared" si="21"/>
        <v>102.99</v>
      </c>
      <c r="I82" s="56">
        <f t="shared" si="22"/>
        <v>131.31</v>
      </c>
    </row>
    <row r="83" spans="1:12" ht="45.75" thickBot="1" x14ac:dyDescent="0.3">
      <c r="A83" s="15" t="s">
        <v>110</v>
      </c>
      <c r="B83" s="54">
        <v>102311</v>
      </c>
      <c r="C83" s="16" t="s">
        <v>119</v>
      </c>
      <c r="D83" s="15" t="s">
        <v>37</v>
      </c>
      <c r="E83" s="17">
        <f>E86*0.5*0.25</f>
        <v>6.25</v>
      </c>
      <c r="F83" s="25">
        <f>TRUNC(11.39,2)</f>
        <v>11.39</v>
      </c>
      <c r="G83" s="19">
        <f t="shared" si="20"/>
        <v>14.53</v>
      </c>
      <c r="H83" s="56">
        <f t="shared" si="21"/>
        <v>71.19</v>
      </c>
      <c r="I83" s="56">
        <f t="shared" si="22"/>
        <v>90.81</v>
      </c>
    </row>
    <row r="84" spans="1:12" ht="15.75" thickBot="1" x14ac:dyDescent="0.3">
      <c r="A84" s="15" t="s">
        <v>111</v>
      </c>
      <c r="B84" s="20" t="s">
        <v>120</v>
      </c>
      <c r="C84" s="16" t="s">
        <v>131</v>
      </c>
      <c r="D84" s="15" t="s">
        <v>37</v>
      </c>
      <c r="E84" s="17">
        <f>E86*0.5*0.1</f>
        <v>2.5</v>
      </c>
      <c r="F84" s="25">
        <f>TRUNC(128.9,2)</f>
        <v>128.9</v>
      </c>
      <c r="G84" s="19">
        <f t="shared" si="20"/>
        <v>164.41</v>
      </c>
      <c r="H84" s="56">
        <f t="shared" si="21"/>
        <v>322.25</v>
      </c>
      <c r="I84" s="56">
        <f t="shared" si="22"/>
        <v>411.03</v>
      </c>
    </row>
    <row r="85" spans="1:12" ht="60.75" thickBot="1" x14ac:dyDescent="0.3">
      <c r="A85" s="15" t="s">
        <v>112</v>
      </c>
      <c r="B85" s="20">
        <v>93378</v>
      </c>
      <c r="C85" s="16" t="s">
        <v>121</v>
      </c>
      <c r="D85" s="15" t="s">
        <v>37</v>
      </c>
      <c r="E85" s="17">
        <f>E86*0.5*0.7</f>
        <v>17.5</v>
      </c>
      <c r="F85" s="25">
        <f>TRUNC(19.97,2)</f>
        <v>19.97</v>
      </c>
      <c r="G85" s="19">
        <f t="shared" si="20"/>
        <v>25.47</v>
      </c>
      <c r="H85" s="56">
        <f t="shared" si="21"/>
        <v>349.48</v>
      </c>
      <c r="I85" s="56">
        <f t="shared" si="22"/>
        <v>445.73</v>
      </c>
      <c r="L85" t="s">
        <v>448</v>
      </c>
    </row>
    <row r="86" spans="1:12" ht="30.75" thickBot="1" x14ac:dyDescent="0.3">
      <c r="A86" s="15" t="s">
        <v>113</v>
      </c>
      <c r="B86" s="20">
        <v>89446</v>
      </c>
      <c r="C86" s="16" t="s">
        <v>122</v>
      </c>
      <c r="D86" s="15" t="s">
        <v>15</v>
      </c>
      <c r="E86" s="17">
        <v>50</v>
      </c>
      <c r="F86" s="21">
        <f>TRUNC(5.94,2)</f>
        <v>5.94</v>
      </c>
      <c r="G86" s="19">
        <f t="shared" si="20"/>
        <v>7.58</v>
      </c>
      <c r="H86" s="56">
        <f t="shared" si="21"/>
        <v>297</v>
      </c>
      <c r="I86" s="56">
        <f t="shared" si="22"/>
        <v>379</v>
      </c>
    </row>
    <row r="87" spans="1:12" ht="15.75" thickBot="1" x14ac:dyDescent="0.3">
      <c r="A87" s="15" t="s">
        <v>114</v>
      </c>
      <c r="B87" s="20" t="s">
        <v>123</v>
      </c>
      <c r="C87" s="16" t="s">
        <v>124</v>
      </c>
      <c r="D87" s="15" t="s">
        <v>18</v>
      </c>
      <c r="E87" s="17">
        <v>1</v>
      </c>
      <c r="F87" s="18">
        <f>TRUNC(4.18,)</f>
        <v>4</v>
      </c>
      <c r="G87" s="19">
        <f t="shared" si="20"/>
        <v>5.0999999999999996</v>
      </c>
      <c r="H87" s="56">
        <f t="shared" si="21"/>
        <v>4</v>
      </c>
      <c r="I87" s="56">
        <f t="shared" si="22"/>
        <v>5.0999999999999996</v>
      </c>
    </row>
    <row r="88" spans="1:12" ht="15.75" thickBot="1" x14ac:dyDescent="0.3">
      <c r="A88" s="15" t="s">
        <v>115</v>
      </c>
      <c r="B88" s="20" t="s">
        <v>125</v>
      </c>
      <c r="C88" s="16" t="s">
        <v>126</v>
      </c>
      <c r="D88" s="15" t="s">
        <v>18</v>
      </c>
      <c r="E88" s="17">
        <v>1</v>
      </c>
      <c r="F88" s="18">
        <f>TRUNC(36.48,2)</f>
        <v>36.479999999999997</v>
      </c>
      <c r="G88" s="19">
        <f t="shared" si="20"/>
        <v>46.53</v>
      </c>
      <c r="H88" s="56">
        <f t="shared" si="21"/>
        <v>36.479999999999997</v>
      </c>
      <c r="I88" s="56">
        <f t="shared" si="22"/>
        <v>46.53</v>
      </c>
    </row>
    <row r="89" spans="1:12" ht="30.75" thickBot="1" x14ac:dyDescent="0.3">
      <c r="A89" s="15" t="s">
        <v>116</v>
      </c>
      <c r="B89" s="20" t="s">
        <v>127</v>
      </c>
      <c r="C89" s="16" t="s">
        <v>128</v>
      </c>
      <c r="D89" s="15" t="s">
        <v>18</v>
      </c>
      <c r="E89" s="17">
        <v>1</v>
      </c>
      <c r="F89" s="18">
        <f>TRUNC(112.92,2)</f>
        <v>112.92</v>
      </c>
      <c r="G89" s="19">
        <f t="shared" si="20"/>
        <v>144.03</v>
      </c>
      <c r="H89" s="56">
        <f t="shared" si="21"/>
        <v>112.92</v>
      </c>
      <c r="I89" s="56">
        <f t="shared" si="22"/>
        <v>144.03</v>
      </c>
    </row>
    <row r="90" spans="1:12" ht="15.75" thickBot="1" x14ac:dyDescent="0.3">
      <c r="A90" s="129"/>
      <c r="B90" s="130"/>
      <c r="C90" s="130"/>
      <c r="D90" s="130"/>
      <c r="E90" s="130"/>
      <c r="F90" s="130"/>
      <c r="G90" s="130"/>
      <c r="H90" s="130"/>
      <c r="I90" s="131"/>
    </row>
    <row r="91" spans="1:12" s="1" customFormat="1" ht="15.75" thickBot="1" x14ac:dyDescent="0.3">
      <c r="A91" s="125" t="s">
        <v>129</v>
      </c>
      <c r="B91" s="126"/>
      <c r="C91" s="126"/>
      <c r="D91" s="126"/>
      <c r="E91" s="126"/>
      <c r="F91" s="126"/>
      <c r="G91" s="127"/>
      <c r="H91" s="14">
        <f>ROUND((SUM(H79,H46,H13,H7)),3)</f>
        <v>48829.91</v>
      </c>
      <c r="I91" s="14">
        <f>ROUND((SUM(I79,I46,I13,I7)),3)</f>
        <v>62282.09</v>
      </c>
    </row>
  </sheetData>
  <mergeCells count="21">
    <mergeCell ref="A3:E3"/>
    <mergeCell ref="A1:I2"/>
    <mergeCell ref="A26:I26"/>
    <mergeCell ref="A14:I14"/>
    <mergeCell ref="A12:I12"/>
    <mergeCell ref="A8:I8"/>
    <mergeCell ref="A6:I6"/>
    <mergeCell ref="C7:F7"/>
    <mergeCell ref="C13:F13"/>
    <mergeCell ref="A4:I4"/>
    <mergeCell ref="G3:I3"/>
    <mergeCell ref="A91:G91"/>
    <mergeCell ref="C46:F46"/>
    <mergeCell ref="C79:F79"/>
    <mergeCell ref="A45:I45"/>
    <mergeCell ref="A90:I90"/>
    <mergeCell ref="A47:I47"/>
    <mergeCell ref="A54:I54"/>
    <mergeCell ref="A75:I75"/>
    <mergeCell ref="A78:I78"/>
    <mergeCell ref="A80:I80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D388-AFAF-42FA-8CC1-5E9937CDDA1D}">
  <dimension ref="A1:J90"/>
  <sheetViews>
    <sheetView showGridLines="0" topLeftCell="A68" zoomScale="85" zoomScaleNormal="85" workbookViewId="0">
      <selection sqref="A1:I90"/>
    </sheetView>
  </sheetViews>
  <sheetFormatPr defaultRowHeight="15" x14ac:dyDescent="0.25"/>
  <cols>
    <col min="1" max="1" width="7.7109375" bestFit="1" customWidth="1"/>
    <col min="2" max="2" width="14.28515625" style="10" customWidth="1"/>
    <col min="3" max="3" width="65.140625" style="2" customWidth="1"/>
    <col min="4" max="4" width="9.28515625" bestFit="1" customWidth="1"/>
    <col min="5" max="5" width="13.140625" style="4" bestFit="1" customWidth="1"/>
    <col min="6" max="6" width="12.42578125" style="6" bestFit="1" customWidth="1"/>
    <col min="7" max="7" width="13.7109375" style="3" customWidth="1"/>
    <col min="8" max="9" width="16.42578125" customWidth="1"/>
    <col min="10" max="10" width="18.85546875" bestFit="1" customWidth="1"/>
  </cols>
  <sheetData>
    <row r="1" spans="1:9" ht="67.5" customHeight="1" x14ac:dyDescent="0.25">
      <c r="A1" s="134" t="s">
        <v>358</v>
      </c>
      <c r="B1" s="135"/>
      <c r="C1" s="135"/>
      <c r="D1" s="135"/>
      <c r="E1" s="135"/>
      <c r="F1" s="135"/>
      <c r="G1" s="135"/>
      <c r="H1" s="135"/>
      <c r="I1" s="136"/>
    </row>
    <row r="2" spans="1:9" ht="72.75" customHeight="1" thickBot="1" x14ac:dyDescent="0.3">
      <c r="A2" s="137"/>
      <c r="B2" s="138"/>
      <c r="C2" s="138"/>
      <c r="D2" s="138"/>
      <c r="E2" s="138"/>
      <c r="F2" s="138"/>
      <c r="G2" s="138"/>
      <c r="H2" s="138"/>
      <c r="I2" s="139"/>
    </row>
    <row r="3" spans="1:9" ht="15.75" thickBot="1" x14ac:dyDescent="0.3">
      <c r="A3" s="132" t="s">
        <v>339</v>
      </c>
      <c r="B3" s="132"/>
      <c r="C3" s="132"/>
      <c r="D3" s="132"/>
      <c r="E3" s="133"/>
      <c r="F3" s="88" t="s">
        <v>340</v>
      </c>
      <c r="G3" s="144">
        <f>BDI!B33</f>
        <v>0.27550000000000002</v>
      </c>
      <c r="H3" s="144"/>
      <c r="I3" s="144"/>
    </row>
    <row r="4" spans="1:9" ht="15.75" thickBot="1" x14ac:dyDescent="0.3">
      <c r="A4" s="133" t="s">
        <v>381</v>
      </c>
      <c r="B4" s="142"/>
      <c r="C4" s="142"/>
      <c r="D4" s="142"/>
      <c r="E4" s="142"/>
      <c r="F4" s="142"/>
      <c r="G4" s="142"/>
      <c r="H4" s="142"/>
      <c r="I4" s="143"/>
    </row>
    <row r="5" spans="1:9" s="9" customFormat="1" ht="30" customHeight="1" thickBot="1" x14ac:dyDescent="0.3">
      <c r="A5" s="26" t="s">
        <v>0</v>
      </c>
      <c r="B5" s="27" t="s">
        <v>1</v>
      </c>
      <c r="C5" s="27" t="s">
        <v>2</v>
      </c>
      <c r="D5" s="26" t="s">
        <v>3</v>
      </c>
      <c r="E5" s="28" t="s">
        <v>4</v>
      </c>
      <c r="F5" s="29" t="s">
        <v>5</v>
      </c>
      <c r="G5" s="89" t="s">
        <v>378</v>
      </c>
      <c r="H5" s="30" t="s">
        <v>382</v>
      </c>
      <c r="I5" s="30" t="s">
        <v>360</v>
      </c>
    </row>
    <row r="6" spans="1:9" ht="15.75" thickBot="1" x14ac:dyDescent="0.3">
      <c r="A6" s="129"/>
      <c r="B6" s="130"/>
      <c r="C6" s="130"/>
      <c r="D6" s="130"/>
      <c r="E6" s="130"/>
      <c r="F6" s="130"/>
      <c r="G6" s="130"/>
      <c r="H6" s="130"/>
      <c r="I6" s="131"/>
    </row>
    <row r="7" spans="1:9" s="1" customFormat="1" ht="15.75" thickBot="1" x14ac:dyDescent="0.3">
      <c r="A7" s="58" t="s">
        <v>7</v>
      </c>
      <c r="B7" s="59"/>
      <c r="C7" s="140" t="s">
        <v>12</v>
      </c>
      <c r="D7" s="140"/>
      <c r="E7" s="140"/>
      <c r="F7" s="140"/>
      <c r="G7" s="60">
        <f>ROUND((SUM(G9:G10)),2)</f>
        <v>38026.85</v>
      </c>
      <c r="H7" s="60">
        <f>SUM(H9:H10)</f>
        <v>34065.71</v>
      </c>
      <c r="I7" s="60">
        <f>SUM(I9:I10)</f>
        <v>43450.51</v>
      </c>
    </row>
    <row r="8" spans="1:9" ht="15.75" thickBot="1" x14ac:dyDescent="0.3">
      <c r="A8" s="129"/>
      <c r="B8" s="130"/>
      <c r="C8" s="130"/>
      <c r="D8" s="130"/>
      <c r="E8" s="130"/>
      <c r="F8" s="130"/>
      <c r="G8" s="130"/>
      <c r="H8" s="130"/>
      <c r="I8" s="131"/>
    </row>
    <row r="9" spans="1:9" ht="30.75" thickBot="1" x14ac:dyDescent="0.3">
      <c r="A9" s="15" t="s">
        <v>8</v>
      </c>
      <c r="B9" s="20" t="s">
        <v>13</v>
      </c>
      <c r="C9" s="16" t="s">
        <v>14</v>
      </c>
      <c r="D9" s="15" t="s">
        <v>15</v>
      </c>
      <c r="E9" s="17">
        <v>90</v>
      </c>
      <c r="F9" s="21">
        <f>TRUNC((COMPOSIÇÕES!G274),2)</f>
        <v>47.78</v>
      </c>
      <c r="G9" s="66">
        <f>ROUND((F9+F9*$G$3),2)</f>
        <v>60.94</v>
      </c>
      <c r="H9" s="56">
        <f>ROUND((F9*E9),2)</f>
        <v>4300.2</v>
      </c>
      <c r="I9" s="56">
        <f>ROUND((G9*E9),2)</f>
        <v>5484.6</v>
      </c>
    </row>
    <row r="10" spans="1:9" ht="15.75" thickBot="1" x14ac:dyDescent="0.3">
      <c r="A10" s="15" t="s">
        <v>9</v>
      </c>
      <c r="B10" s="69" t="s">
        <v>16</v>
      </c>
      <c r="C10" s="57" t="s">
        <v>17</v>
      </c>
      <c r="D10" s="68" t="s">
        <v>18</v>
      </c>
      <c r="E10" s="70">
        <v>1</v>
      </c>
      <c r="F10" s="71">
        <f>TRUNC((COMPOSIÇÕES!G37),2)</f>
        <v>29765.51</v>
      </c>
      <c r="G10" s="66">
        <f>ROUND((F10+F10*$G$3),2)</f>
        <v>37965.910000000003</v>
      </c>
      <c r="H10" s="56">
        <f>ROUND((F10*E10),2)</f>
        <v>29765.51</v>
      </c>
      <c r="I10" s="56">
        <f>ROUND((G10*E10),2)</f>
        <v>37965.910000000003</v>
      </c>
    </row>
    <row r="11" spans="1:9" ht="15.75" thickBot="1" x14ac:dyDescent="0.3">
      <c r="A11" s="129"/>
      <c r="B11" s="130"/>
      <c r="C11" s="130"/>
      <c r="D11" s="130"/>
      <c r="E11" s="130"/>
      <c r="F11" s="130"/>
      <c r="G11" s="130"/>
      <c r="H11" s="130"/>
      <c r="I11" s="131"/>
    </row>
    <row r="12" spans="1:9" ht="15.75" thickBot="1" x14ac:dyDescent="0.3">
      <c r="A12" s="73" t="s">
        <v>19</v>
      </c>
      <c r="B12" s="74"/>
      <c r="C12" s="141" t="s">
        <v>20</v>
      </c>
      <c r="D12" s="141"/>
      <c r="E12" s="141"/>
      <c r="F12" s="141"/>
      <c r="G12" s="75">
        <f>ROUND((SUM(G14,G26,G33)),2)</f>
        <v>8432.16</v>
      </c>
      <c r="H12" s="75">
        <f>SUM(H14,H26,H33)</f>
        <v>6744.0299999999988</v>
      </c>
      <c r="I12" s="75">
        <f>SUM(I14,I26,I33)</f>
        <v>8601.880000000001</v>
      </c>
    </row>
    <row r="13" spans="1:9" ht="15.75" thickBot="1" x14ac:dyDescent="0.3">
      <c r="A13" s="129"/>
      <c r="B13" s="130"/>
      <c r="C13" s="130"/>
      <c r="D13" s="130"/>
      <c r="E13" s="130"/>
      <c r="F13" s="130"/>
      <c r="G13" s="130"/>
      <c r="H13" s="130"/>
      <c r="I13" s="131"/>
    </row>
    <row r="14" spans="1:9" s="1" customFormat="1" ht="15.75" thickBot="1" x14ac:dyDescent="0.3">
      <c r="A14" s="76" t="s">
        <v>21</v>
      </c>
      <c r="B14" s="27"/>
      <c r="C14" s="77" t="s">
        <v>22</v>
      </c>
      <c r="D14" s="76"/>
      <c r="E14" s="78"/>
      <c r="F14" s="79"/>
      <c r="G14" s="80">
        <f>ROUND((SUM(G15:G24)),2)</f>
        <v>3630.84</v>
      </c>
      <c r="H14" s="80">
        <f>(SUM(H15:H24))</f>
        <v>3456.3599999999997</v>
      </c>
      <c r="I14" s="80">
        <f>(SUM(I15:I24))</f>
        <v>4408.59</v>
      </c>
    </row>
    <row r="15" spans="1:9" ht="30.75" thickBot="1" x14ac:dyDescent="0.3">
      <c r="A15" s="15" t="s">
        <v>24</v>
      </c>
      <c r="B15" s="20" t="s">
        <v>34</v>
      </c>
      <c r="C15" s="16" t="s">
        <v>35</v>
      </c>
      <c r="D15" s="15" t="s">
        <v>11</v>
      </c>
      <c r="E15" s="17">
        <v>25</v>
      </c>
      <c r="F15" s="18">
        <f>TRUNC(9.25,2)</f>
        <v>9.25</v>
      </c>
      <c r="G15" s="19">
        <f>ROUND((F15+F15*$G$3),2)</f>
        <v>11.8</v>
      </c>
      <c r="H15" s="56">
        <f>ROUND((F15*E15),2)</f>
        <v>231.25</v>
      </c>
      <c r="I15" s="56">
        <f t="shared" ref="I15:I24" si="0">ROUND((G15*E15),2)</f>
        <v>295</v>
      </c>
    </row>
    <row r="16" spans="1:9" ht="15.75" thickBot="1" x14ac:dyDescent="0.3">
      <c r="A16" s="15" t="s">
        <v>25</v>
      </c>
      <c r="B16" s="20">
        <v>93358</v>
      </c>
      <c r="C16" s="16" t="s">
        <v>36</v>
      </c>
      <c r="D16" s="15" t="s">
        <v>37</v>
      </c>
      <c r="E16" s="17">
        <v>0.17</v>
      </c>
      <c r="F16" s="18">
        <f>TRUNC(61.43,2)</f>
        <v>61.43</v>
      </c>
      <c r="G16" s="19">
        <f t="shared" ref="G16:G24" si="1">ROUND((F16+F16*$G$3),2)</f>
        <v>78.349999999999994</v>
      </c>
      <c r="H16" s="56">
        <f t="shared" ref="H16:H24" si="2">ROUND((F16*E16),2)</f>
        <v>10.44</v>
      </c>
      <c r="I16" s="56">
        <f t="shared" si="0"/>
        <v>13.32</v>
      </c>
    </row>
    <row r="17" spans="1:10" ht="30.75" thickBot="1" x14ac:dyDescent="0.3">
      <c r="A17" s="15" t="s">
        <v>26</v>
      </c>
      <c r="B17" s="20">
        <v>101159</v>
      </c>
      <c r="C17" s="16" t="s">
        <v>180</v>
      </c>
      <c r="D17" s="15" t="s">
        <v>11</v>
      </c>
      <c r="E17" s="17">
        <v>0.84</v>
      </c>
      <c r="F17" s="18">
        <f>TRUNC(108.26,2)</f>
        <v>108.26</v>
      </c>
      <c r="G17" s="19">
        <f t="shared" si="1"/>
        <v>138.09</v>
      </c>
      <c r="H17" s="56">
        <f t="shared" si="2"/>
        <v>90.94</v>
      </c>
      <c r="I17" s="56">
        <f t="shared" si="0"/>
        <v>116</v>
      </c>
    </row>
    <row r="18" spans="1:10" ht="60.75" thickBot="1" x14ac:dyDescent="0.3">
      <c r="A18" s="15" t="s">
        <v>27</v>
      </c>
      <c r="B18" s="20">
        <v>103357</v>
      </c>
      <c r="C18" s="16" t="s">
        <v>38</v>
      </c>
      <c r="D18" s="15" t="s">
        <v>11</v>
      </c>
      <c r="E18" s="17">
        <v>1.68</v>
      </c>
      <c r="F18" s="25">
        <f>TRUNC(44.1,2)</f>
        <v>44.1</v>
      </c>
      <c r="G18" s="19">
        <f t="shared" si="1"/>
        <v>56.25</v>
      </c>
      <c r="H18" s="56">
        <f t="shared" si="2"/>
        <v>74.09</v>
      </c>
      <c r="I18" s="56">
        <f t="shared" si="0"/>
        <v>94.5</v>
      </c>
    </row>
    <row r="19" spans="1:10" ht="45.75" thickBot="1" x14ac:dyDescent="0.3">
      <c r="A19" s="15" t="s">
        <v>28</v>
      </c>
      <c r="B19" s="20">
        <v>87879</v>
      </c>
      <c r="C19" s="16" t="s">
        <v>39</v>
      </c>
      <c r="D19" s="15" t="s">
        <v>11</v>
      </c>
      <c r="E19" s="17">
        <v>3.36</v>
      </c>
      <c r="F19" s="18">
        <f>TRUNC(3.45,2)</f>
        <v>3.45</v>
      </c>
      <c r="G19" s="19">
        <f t="shared" si="1"/>
        <v>4.4000000000000004</v>
      </c>
      <c r="H19" s="56">
        <f t="shared" si="2"/>
        <v>11.59</v>
      </c>
      <c r="I19" s="56">
        <f t="shared" si="0"/>
        <v>14.78</v>
      </c>
    </row>
    <row r="20" spans="1:10" ht="60.75" thickBot="1" x14ac:dyDescent="0.3">
      <c r="A20" s="15" t="s">
        <v>29</v>
      </c>
      <c r="B20" s="20">
        <v>87529</v>
      </c>
      <c r="C20" s="16" t="s">
        <v>40</v>
      </c>
      <c r="D20" s="15" t="s">
        <v>11</v>
      </c>
      <c r="E20" s="17">
        <v>3.36</v>
      </c>
      <c r="F20" s="25">
        <f>TRUNC(29.81,2)</f>
        <v>29.81</v>
      </c>
      <c r="G20" s="19">
        <f t="shared" si="1"/>
        <v>38.020000000000003</v>
      </c>
      <c r="H20" s="56">
        <f t="shared" si="2"/>
        <v>100.16</v>
      </c>
      <c r="I20" s="56">
        <f t="shared" si="0"/>
        <v>127.75</v>
      </c>
    </row>
    <row r="21" spans="1:10" ht="30.75" thickBot="1" x14ac:dyDescent="0.3">
      <c r="A21" s="15" t="s">
        <v>30</v>
      </c>
      <c r="B21" s="20">
        <v>88489</v>
      </c>
      <c r="C21" s="16" t="s">
        <v>333</v>
      </c>
      <c r="D21" s="15" t="s">
        <v>11</v>
      </c>
      <c r="E21" s="17">
        <v>11.04</v>
      </c>
      <c r="F21" s="25">
        <f>TRUNC(12.94,2)</f>
        <v>12.94</v>
      </c>
      <c r="G21" s="19">
        <f t="shared" si="1"/>
        <v>16.5</v>
      </c>
      <c r="H21" s="56">
        <f t="shared" si="2"/>
        <v>142.86000000000001</v>
      </c>
      <c r="I21" s="56">
        <f t="shared" si="0"/>
        <v>182.16</v>
      </c>
    </row>
    <row r="22" spans="1:10" ht="45.75" thickBot="1" x14ac:dyDescent="0.3">
      <c r="A22" s="15" t="s">
        <v>31</v>
      </c>
      <c r="B22" s="20" t="s">
        <v>42</v>
      </c>
      <c r="C22" s="16" t="s">
        <v>41</v>
      </c>
      <c r="D22" s="15" t="s">
        <v>18</v>
      </c>
      <c r="E22" s="17">
        <v>1</v>
      </c>
      <c r="F22" s="25">
        <f>TRUNC(('[1]COMP. 02'!G15),2)</f>
        <v>1966.32</v>
      </c>
      <c r="G22" s="19">
        <f t="shared" si="1"/>
        <v>2508.04</v>
      </c>
      <c r="H22" s="56">
        <f t="shared" si="2"/>
        <v>1966.32</v>
      </c>
      <c r="I22" s="56">
        <f t="shared" si="0"/>
        <v>2508.04</v>
      </c>
    </row>
    <row r="23" spans="1:10" ht="15.75" thickBot="1" x14ac:dyDescent="0.3">
      <c r="A23" s="15" t="s">
        <v>32</v>
      </c>
      <c r="B23" s="20" t="s">
        <v>337</v>
      </c>
      <c r="C23" s="16" t="s">
        <v>43</v>
      </c>
      <c r="D23" s="15" t="s">
        <v>11</v>
      </c>
      <c r="E23" s="17">
        <v>1.28</v>
      </c>
      <c r="F23" s="18">
        <f>TRUNC(574.65,2)</f>
        <v>574.65</v>
      </c>
      <c r="G23" s="19">
        <f t="shared" si="1"/>
        <v>732.97</v>
      </c>
      <c r="H23" s="56">
        <f t="shared" si="2"/>
        <v>735.55</v>
      </c>
      <c r="I23" s="56">
        <f t="shared" si="0"/>
        <v>938.2</v>
      </c>
      <c r="J23" s="87"/>
    </row>
    <row r="24" spans="1:10" ht="30.75" thickBot="1" x14ac:dyDescent="0.3">
      <c r="A24" s="68" t="s">
        <v>33</v>
      </c>
      <c r="B24" s="69">
        <v>100761</v>
      </c>
      <c r="C24" s="57" t="s">
        <v>130</v>
      </c>
      <c r="D24" s="68" t="s">
        <v>11</v>
      </c>
      <c r="E24" s="70">
        <v>2.56</v>
      </c>
      <c r="F24" s="71">
        <f>TRUNC(36.39,2)</f>
        <v>36.39</v>
      </c>
      <c r="G24" s="19">
        <f t="shared" si="1"/>
        <v>46.42</v>
      </c>
      <c r="H24" s="56">
        <f t="shared" si="2"/>
        <v>93.16</v>
      </c>
      <c r="I24" s="56">
        <f t="shared" si="0"/>
        <v>118.84</v>
      </c>
    </row>
    <row r="25" spans="1:10" ht="15.75" thickBot="1" x14ac:dyDescent="0.3">
      <c r="A25" s="129"/>
      <c r="B25" s="130"/>
      <c r="C25" s="130"/>
      <c r="D25" s="130"/>
      <c r="E25" s="130"/>
      <c r="F25" s="130"/>
      <c r="G25" s="130"/>
      <c r="H25" s="130"/>
      <c r="I25" s="131"/>
    </row>
    <row r="26" spans="1:10" ht="15.75" thickBot="1" x14ac:dyDescent="0.3">
      <c r="A26" s="76" t="s">
        <v>23</v>
      </c>
      <c r="B26" s="27"/>
      <c r="C26" s="77" t="s">
        <v>44</v>
      </c>
      <c r="D26" s="76"/>
      <c r="E26" s="78"/>
      <c r="F26" s="79"/>
      <c r="G26" s="80">
        <f>ROUND((SUM(G27:G31)),2)</f>
        <v>3389.2</v>
      </c>
      <c r="H26" s="80">
        <f>(SUM(H27:H31))</f>
        <v>423.58000000000004</v>
      </c>
      <c r="I26" s="80">
        <f>(SUM(I27:I31))</f>
        <v>540.27</v>
      </c>
    </row>
    <row r="27" spans="1:10" ht="15.75" thickBot="1" x14ac:dyDescent="0.3">
      <c r="A27" s="15" t="s">
        <v>45</v>
      </c>
      <c r="B27" s="20">
        <v>93358</v>
      </c>
      <c r="C27" s="16" t="s">
        <v>36</v>
      </c>
      <c r="D27" s="15" t="s">
        <v>37</v>
      </c>
      <c r="E27" s="17">
        <v>0.32</v>
      </c>
      <c r="F27" s="25">
        <f>TRUNC(61.43,2)</f>
        <v>61.43</v>
      </c>
      <c r="G27" s="19">
        <f>ROUND((F27+F27*$G$3),2)</f>
        <v>78.349999999999994</v>
      </c>
      <c r="H27" s="56">
        <f t="shared" ref="H27:H31" si="3">ROUND((F27*E27),2)</f>
        <v>19.66</v>
      </c>
      <c r="I27" s="56">
        <f>ROUND((G27*E27),2)</f>
        <v>25.07</v>
      </c>
    </row>
    <row r="28" spans="1:10" ht="30.75" thickBot="1" x14ac:dyDescent="0.3">
      <c r="A28" s="15" t="s">
        <v>46</v>
      </c>
      <c r="B28" s="20">
        <v>101159</v>
      </c>
      <c r="C28" s="16" t="s">
        <v>180</v>
      </c>
      <c r="D28" s="15" t="s">
        <v>11</v>
      </c>
      <c r="E28" s="17">
        <v>1.1200000000000001</v>
      </c>
      <c r="F28" s="25">
        <f>TRUNC(108.26,2)</f>
        <v>108.26</v>
      </c>
      <c r="G28" s="19">
        <f t="shared" ref="G28:G31" si="4">ROUND((F28+F28*$G$3),2)</f>
        <v>138.09</v>
      </c>
      <c r="H28" s="56">
        <f t="shared" si="3"/>
        <v>121.25</v>
      </c>
      <c r="I28" s="56">
        <f>ROUND((G28*E28),2)</f>
        <v>154.66</v>
      </c>
    </row>
    <row r="29" spans="1:10" ht="45.75" thickBot="1" x14ac:dyDescent="0.3">
      <c r="A29" s="15" t="s">
        <v>47</v>
      </c>
      <c r="B29" s="20">
        <v>87879</v>
      </c>
      <c r="C29" s="16" t="s">
        <v>39</v>
      </c>
      <c r="D29" s="15" t="s">
        <v>11</v>
      </c>
      <c r="E29" s="17">
        <v>1.1200000000000001</v>
      </c>
      <c r="F29" s="18">
        <f>TRUNC(3.45,2)</f>
        <v>3.45</v>
      </c>
      <c r="G29" s="19">
        <f t="shared" si="4"/>
        <v>4.4000000000000004</v>
      </c>
      <c r="H29" s="56">
        <f t="shared" si="3"/>
        <v>3.86</v>
      </c>
      <c r="I29" s="56">
        <f>ROUND((G29*E29),2)</f>
        <v>4.93</v>
      </c>
    </row>
    <row r="30" spans="1:10" ht="60.75" thickBot="1" x14ac:dyDescent="0.3">
      <c r="A30" s="15" t="s">
        <v>48</v>
      </c>
      <c r="B30" s="20">
        <v>87529</v>
      </c>
      <c r="C30" s="16" t="s">
        <v>40</v>
      </c>
      <c r="D30" s="15" t="s">
        <v>11</v>
      </c>
      <c r="E30" s="17">
        <v>1.1200000000000001</v>
      </c>
      <c r="F30" s="25">
        <f>TRUNC(29.81,2)</f>
        <v>29.81</v>
      </c>
      <c r="G30" s="19">
        <f t="shared" si="4"/>
        <v>38.020000000000003</v>
      </c>
      <c r="H30" s="56">
        <f t="shared" si="3"/>
        <v>33.39</v>
      </c>
      <c r="I30" s="56">
        <f>ROUND((G30*E30),2)</f>
        <v>42.58</v>
      </c>
    </row>
    <row r="31" spans="1:10" ht="45.75" thickBot="1" x14ac:dyDescent="0.3">
      <c r="A31" s="68" t="s">
        <v>49</v>
      </c>
      <c r="B31" s="69" t="s">
        <v>50</v>
      </c>
      <c r="C31" s="57" t="s">
        <v>51</v>
      </c>
      <c r="D31" s="68" t="s">
        <v>37</v>
      </c>
      <c r="E31" s="70">
        <v>0.1</v>
      </c>
      <c r="F31" s="72">
        <f>TRUNC(2454.21,2)</f>
        <v>2454.21</v>
      </c>
      <c r="G31" s="19">
        <f t="shared" si="4"/>
        <v>3130.34</v>
      </c>
      <c r="H31" s="56">
        <f t="shared" si="3"/>
        <v>245.42</v>
      </c>
      <c r="I31" s="56">
        <f>ROUND((G31*E31),2)</f>
        <v>313.02999999999997</v>
      </c>
    </row>
    <row r="32" spans="1:10" ht="15.75" thickBot="1" x14ac:dyDescent="0.3">
      <c r="A32" s="81"/>
      <c r="B32" s="82"/>
      <c r="C32" s="82"/>
      <c r="D32" s="82"/>
      <c r="E32" s="82"/>
      <c r="F32" s="82"/>
      <c r="G32" s="82"/>
      <c r="H32" s="67"/>
      <c r="I32" s="67"/>
    </row>
    <row r="33" spans="1:9" ht="15.75" thickBot="1" x14ac:dyDescent="0.3">
      <c r="A33" s="76" t="s">
        <v>52</v>
      </c>
      <c r="B33" s="27"/>
      <c r="C33" s="77" t="s">
        <v>63</v>
      </c>
      <c r="D33" s="76"/>
      <c r="E33" s="78"/>
      <c r="F33" s="79"/>
      <c r="G33" s="80">
        <f>ROUND((SUM(G34:G43)),2)</f>
        <v>1412.12</v>
      </c>
      <c r="H33" s="80">
        <f>(SUM(H34:H43))</f>
        <v>2864.0899999999997</v>
      </c>
      <c r="I33" s="80">
        <f>(SUM(I34:I43))</f>
        <v>3653.02</v>
      </c>
    </row>
    <row r="34" spans="1:9" ht="15.75" thickBot="1" x14ac:dyDescent="0.3">
      <c r="A34" s="15" t="s">
        <v>53</v>
      </c>
      <c r="B34" s="20">
        <v>93358</v>
      </c>
      <c r="C34" s="16" t="s">
        <v>36</v>
      </c>
      <c r="D34" s="15" t="s">
        <v>37</v>
      </c>
      <c r="E34" s="17">
        <v>0.18</v>
      </c>
      <c r="F34" s="25">
        <f>TRUNC(61.43,2)</f>
        <v>61.43</v>
      </c>
      <c r="G34" s="19">
        <f>ROUND((F34+F34*$G$3),2)</f>
        <v>78.349999999999994</v>
      </c>
      <c r="H34" s="56">
        <f t="shared" ref="H34:H43" si="5">ROUND((F34*E34),2)</f>
        <v>11.06</v>
      </c>
      <c r="I34" s="56">
        <f t="shared" ref="I34:I43" si="6">ROUND((G34*E34),2)</f>
        <v>14.1</v>
      </c>
    </row>
    <row r="35" spans="1:9" ht="30.75" thickBot="1" x14ac:dyDescent="0.3">
      <c r="A35" s="15" t="s">
        <v>54</v>
      </c>
      <c r="B35" s="20">
        <v>101159</v>
      </c>
      <c r="C35" s="16" t="s">
        <v>180</v>
      </c>
      <c r="D35" s="15" t="s">
        <v>11</v>
      </c>
      <c r="E35" s="17">
        <v>1.32</v>
      </c>
      <c r="F35" s="25">
        <f>TRUNC(108.26,2)</f>
        <v>108.26</v>
      </c>
      <c r="G35" s="19">
        <f t="shared" ref="G35:G43" si="7">ROUND((F35+F35*$G$3),2)</f>
        <v>138.09</v>
      </c>
      <c r="H35" s="56">
        <f t="shared" si="5"/>
        <v>142.9</v>
      </c>
      <c r="I35" s="56">
        <f t="shared" si="6"/>
        <v>182.28</v>
      </c>
    </row>
    <row r="36" spans="1:9" ht="60.75" thickBot="1" x14ac:dyDescent="0.3">
      <c r="A36" s="15" t="s">
        <v>55</v>
      </c>
      <c r="B36" s="20">
        <v>103357</v>
      </c>
      <c r="C36" s="16" t="s">
        <v>38</v>
      </c>
      <c r="D36" s="15" t="s">
        <v>11</v>
      </c>
      <c r="E36" s="17">
        <v>6.76</v>
      </c>
      <c r="F36" s="25">
        <f>TRUNC(44.1,2)</f>
        <v>44.1</v>
      </c>
      <c r="G36" s="19">
        <f t="shared" si="7"/>
        <v>56.25</v>
      </c>
      <c r="H36" s="56">
        <f t="shared" si="5"/>
        <v>298.12</v>
      </c>
      <c r="I36" s="56">
        <f t="shared" si="6"/>
        <v>380.25</v>
      </c>
    </row>
    <row r="37" spans="1:9" ht="45.75" thickBot="1" x14ac:dyDescent="0.3">
      <c r="A37" s="15" t="s">
        <v>56</v>
      </c>
      <c r="B37" s="20">
        <v>87879</v>
      </c>
      <c r="C37" s="16" t="s">
        <v>39</v>
      </c>
      <c r="D37" s="15" t="s">
        <v>11</v>
      </c>
      <c r="E37" s="17">
        <v>19.3</v>
      </c>
      <c r="F37" s="25">
        <f>TRUNC(3.45,2)</f>
        <v>3.45</v>
      </c>
      <c r="G37" s="19">
        <f t="shared" si="7"/>
        <v>4.4000000000000004</v>
      </c>
      <c r="H37" s="56">
        <f t="shared" si="5"/>
        <v>66.59</v>
      </c>
      <c r="I37" s="56">
        <f t="shared" si="6"/>
        <v>84.92</v>
      </c>
    </row>
    <row r="38" spans="1:9" ht="60.75" thickBot="1" x14ac:dyDescent="0.3">
      <c r="A38" s="15" t="s">
        <v>57</v>
      </c>
      <c r="B38" s="20">
        <v>87529</v>
      </c>
      <c r="C38" s="16" t="s">
        <v>40</v>
      </c>
      <c r="D38" s="15" t="s">
        <v>11</v>
      </c>
      <c r="E38" s="17">
        <v>19.3</v>
      </c>
      <c r="F38" s="25">
        <f>TRUNC(29.81,2)</f>
        <v>29.81</v>
      </c>
      <c r="G38" s="19">
        <f t="shared" si="7"/>
        <v>38.020000000000003</v>
      </c>
      <c r="H38" s="56">
        <f t="shared" si="5"/>
        <v>575.33000000000004</v>
      </c>
      <c r="I38" s="56">
        <f t="shared" si="6"/>
        <v>733.79</v>
      </c>
    </row>
    <row r="39" spans="1:9" ht="30.75" thickBot="1" x14ac:dyDescent="0.3">
      <c r="A39" s="15" t="s">
        <v>58</v>
      </c>
      <c r="B39" s="20">
        <v>88489</v>
      </c>
      <c r="C39" s="16" t="s">
        <v>333</v>
      </c>
      <c r="D39" s="15" t="s">
        <v>11</v>
      </c>
      <c r="E39" s="17">
        <v>19.3</v>
      </c>
      <c r="F39" s="25">
        <f>TRUNC(12.94,2)</f>
        <v>12.94</v>
      </c>
      <c r="G39" s="19">
        <f t="shared" si="7"/>
        <v>16.5</v>
      </c>
      <c r="H39" s="56">
        <f t="shared" si="5"/>
        <v>249.74</v>
      </c>
      <c r="I39" s="56">
        <f t="shared" si="6"/>
        <v>318.45</v>
      </c>
    </row>
    <row r="40" spans="1:9" ht="30.75" thickBot="1" x14ac:dyDescent="0.3">
      <c r="A40" s="15" t="s">
        <v>59</v>
      </c>
      <c r="B40" s="20">
        <v>101964</v>
      </c>
      <c r="C40" s="16" t="s">
        <v>331</v>
      </c>
      <c r="D40" s="15" t="s">
        <v>11</v>
      </c>
      <c r="E40" s="17">
        <v>2.89</v>
      </c>
      <c r="F40" s="25">
        <f>TRUNC(150.92,2)</f>
        <v>150.91999999999999</v>
      </c>
      <c r="G40" s="19">
        <f t="shared" si="7"/>
        <v>192.5</v>
      </c>
      <c r="H40" s="56">
        <f t="shared" si="5"/>
        <v>436.16</v>
      </c>
      <c r="I40" s="56">
        <f t="shared" si="6"/>
        <v>556.33000000000004</v>
      </c>
    </row>
    <row r="41" spans="1:9" ht="15.75" thickBot="1" x14ac:dyDescent="0.3">
      <c r="A41" s="15" t="s">
        <v>60</v>
      </c>
      <c r="B41" s="20" t="s">
        <v>337</v>
      </c>
      <c r="C41" s="16" t="s">
        <v>43</v>
      </c>
      <c r="D41" s="15" t="s">
        <v>11</v>
      </c>
      <c r="E41" s="17">
        <v>1.28</v>
      </c>
      <c r="F41" s="18">
        <f>TRUNC(574.65,2)</f>
        <v>574.65</v>
      </c>
      <c r="G41" s="19">
        <f t="shared" si="7"/>
        <v>732.97</v>
      </c>
      <c r="H41" s="56">
        <f t="shared" si="5"/>
        <v>735.55</v>
      </c>
      <c r="I41" s="56">
        <f t="shared" si="6"/>
        <v>938.2</v>
      </c>
    </row>
    <row r="42" spans="1:9" ht="30.75" thickBot="1" x14ac:dyDescent="0.3">
      <c r="A42" s="15" t="s">
        <v>61</v>
      </c>
      <c r="B42" s="20">
        <v>100761</v>
      </c>
      <c r="C42" s="16" t="s">
        <v>130</v>
      </c>
      <c r="D42" s="15" t="s">
        <v>11</v>
      </c>
      <c r="E42" s="17">
        <v>2.56</v>
      </c>
      <c r="F42" s="18">
        <f>TRUNC(36.39,2)</f>
        <v>36.39</v>
      </c>
      <c r="G42" s="19">
        <f t="shared" si="7"/>
        <v>46.42</v>
      </c>
      <c r="H42" s="56">
        <f t="shared" si="5"/>
        <v>93.16</v>
      </c>
      <c r="I42" s="56">
        <f t="shared" si="6"/>
        <v>118.84</v>
      </c>
    </row>
    <row r="43" spans="1:9" ht="45.75" thickBot="1" x14ac:dyDescent="0.3">
      <c r="A43" s="15" t="s">
        <v>62</v>
      </c>
      <c r="B43" s="20">
        <v>94994</v>
      </c>
      <c r="C43" s="16" t="s">
        <v>64</v>
      </c>
      <c r="D43" s="15" t="s">
        <v>11</v>
      </c>
      <c r="E43" s="17">
        <v>3</v>
      </c>
      <c r="F43" s="25">
        <f>TRUNC(85.16,2)</f>
        <v>85.16</v>
      </c>
      <c r="G43" s="19">
        <f t="shared" si="7"/>
        <v>108.62</v>
      </c>
      <c r="H43" s="56">
        <f t="shared" si="5"/>
        <v>255.48</v>
      </c>
      <c r="I43" s="56">
        <f t="shared" si="6"/>
        <v>325.86</v>
      </c>
    </row>
    <row r="44" spans="1:9" ht="15.75" thickBot="1" x14ac:dyDescent="0.3">
      <c r="A44" s="129"/>
      <c r="B44" s="130"/>
      <c r="C44" s="130"/>
      <c r="D44" s="130"/>
      <c r="E44" s="130"/>
      <c r="F44" s="130"/>
      <c r="G44" s="130"/>
      <c r="H44" s="130"/>
      <c r="I44" s="131"/>
    </row>
    <row r="45" spans="1:9" ht="15.75" thickBot="1" x14ac:dyDescent="0.3">
      <c r="A45" s="13" t="s">
        <v>65</v>
      </c>
      <c r="B45" s="55"/>
      <c r="C45" s="128" t="s">
        <v>72</v>
      </c>
      <c r="D45" s="128"/>
      <c r="E45" s="128"/>
      <c r="F45" s="128"/>
      <c r="G45" s="14">
        <f>ROUND((SUM(G47,G54,G75)),2)</f>
        <v>8069.13</v>
      </c>
      <c r="H45" s="14">
        <f>(SUM(H47,H54,H75))</f>
        <v>7803.9299999999994</v>
      </c>
      <c r="I45" s="14">
        <f>(SUM(I47,I54,I75))</f>
        <v>9953.9200000000019</v>
      </c>
    </row>
    <row r="46" spans="1:9" ht="15.75" thickBot="1" x14ac:dyDescent="0.3">
      <c r="A46" s="129"/>
      <c r="B46" s="130"/>
      <c r="C46" s="130"/>
      <c r="D46" s="130"/>
      <c r="E46" s="130"/>
      <c r="F46" s="130"/>
      <c r="G46" s="130"/>
      <c r="H46" s="130"/>
      <c r="I46" s="131"/>
    </row>
    <row r="47" spans="1:9" ht="15.75" thickBot="1" x14ac:dyDescent="0.3">
      <c r="A47" s="13" t="s">
        <v>66</v>
      </c>
      <c r="B47" s="55"/>
      <c r="C47" s="22" t="s">
        <v>336</v>
      </c>
      <c r="D47" s="13"/>
      <c r="E47" s="23"/>
      <c r="F47" s="24"/>
      <c r="G47" s="14">
        <f>ROUND((SUM(G48:G52)),2)</f>
        <v>3187.73</v>
      </c>
      <c r="H47" s="14">
        <f>(SUM(H48:H52))</f>
        <v>3068.79</v>
      </c>
      <c r="I47" s="14">
        <f>(SUM(I48:I52))</f>
        <v>3914.24</v>
      </c>
    </row>
    <row r="48" spans="1:9" ht="30.75" thickBot="1" x14ac:dyDescent="0.3">
      <c r="A48" s="15" t="s">
        <v>67</v>
      </c>
      <c r="B48" s="20" t="s">
        <v>34</v>
      </c>
      <c r="C48" s="16" t="s">
        <v>35</v>
      </c>
      <c r="D48" s="15" t="s">
        <v>11</v>
      </c>
      <c r="E48" s="17">
        <v>25</v>
      </c>
      <c r="F48" s="18">
        <f>TRUNC(9.25,2)</f>
        <v>9.25</v>
      </c>
      <c r="G48" s="19">
        <f>ROUND((F48+F48*$G$3),2)</f>
        <v>11.8</v>
      </c>
      <c r="H48" s="56">
        <f t="shared" ref="H48:H52" si="8">ROUND((F48*E48),2)</f>
        <v>231.25</v>
      </c>
      <c r="I48" s="56">
        <f>ROUND((G48*E48),2)</f>
        <v>295</v>
      </c>
    </row>
    <row r="49" spans="1:9" ht="45.75" thickBot="1" x14ac:dyDescent="0.3">
      <c r="A49" s="15" t="s">
        <v>68</v>
      </c>
      <c r="B49" s="20" t="s">
        <v>334</v>
      </c>
      <c r="C49" s="16" t="s">
        <v>41</v>
      </c>
      <c r="D49" s="15" t="s">
        <v>18</v>
      </c>
      <c r="E49" s="17">
        <v>1</v>
      </c>
      <c r="F49" s="25">
        <f>TRUNC((COMPOSIÇÕES!G52),2)</f>
        <v>1865.97</v>
      </c>
      <c r="G49" s="19">
        <f t="shared" ref="G49:G52" si="9">ROUND((F49+F49*$G$3),2)</f>
        <v>2380.04</v>
      </c>
      <c r="H49" s="56">
        <f t="shared" si="8"/>
        <v>1865.97</v>
      </c>
      <c r="I49" s="56">
        <f>ROUND((G49*E49),2)</f>
        <v>2380.04</v>
      </c>
    </row>
    <row r="50" spans="1:9" ht="30.75" thickBot="1" x14ac:dyDescent="0.3">
      <c r="A50" s="15" t="s">
        <v>69</v>
      </c>
      <c r="B50" s="20">
        <v>88489</v>
      </c>
      <c r="C50" s="16" t="s">
        <v>333</v>
      </c>
      <c r="D50" s="15" t="s">
        <v>11</v>
      </c>
      <c r="E50" s="17">
        <v>11.04</v>
      </c>
      <c r="F50" s="25">
        <f>TRUNC(12.94,2)</f>
        <v>12.94</v>
      </c>
      <c r="G50" s="19">
        <f t="shared" si="9"/>
        <v>16.5</v>
      </c>
      <c r="H50" s="56">
        <f t="shared" si="8"/>
        <v>142.86000000000001</v>
      </c>
      <c r="I50" s="56">
        <f>ROUND((G50*E50),2)</f>
        <v>182.16</v>
      </c>
    </row>
    <row r="51" spans="1:9" ht="15.75" thickBot="1" x14ac:dyDescent="0.3">
      <c r="A51" s="15" t="s">
        <v>70</v>
      </c>
      <c r="B51" s="20" t="s">
        <v>337</v>
      </c>
      <c r="C51" s="16" t="s">
        <v>43</v>
      </c>
      <c r="D51" s="15" t="s">
        <v>11</v>
      </c>
      <c r="E51" s="17">
        <v>1.28</v>
      </c>
      <c r="F51" s="18">
        <f>TRUNC(574.65,2)</f>
        <v>574.65</v>
      </c>
      <c r="G51" s="19">
        <f t="shared" si="9"/>
        <v>732.97</v>
      </c>
      <c r="H51" s="56">
        <f t="shared" si="8"/>
        <v>735.55</v>
      </c>
      <c r="I51" s="56">
        <f>ROUND((G51*E51),2)</f>
        <v>938.2</v>
      </c>
    </row>
    <row r="52" spans="1:9" ht="30.75" thickBot="1" x14ac:dyDescent="0.3">
      <c r="A52" s="15" t="s">
        <v>71</v>
      </c>
      <c r="B52" s="20">
        <v>100761</v>
      </c>
      <c r="C52" s="16" t="s">
        <v>130</v>
      </c>
      <c r="D52" s="15" t="s">
        <v>11</v>
      </c>
      <c r="E52" s="17">
        <v>2.56</v>
      </c>
      <c r="F52" s="25">
        <f>TRUNC(36.39,2)</f>
        <v>36.39</v>
      </c>
      <c r="G52" s="19">
        <f t="shared" si="9"/>
        <v>46.42</v>
      </c>
      <c r="H52" s="56">
        <f t="shared" si="8"/>
        <v>93.16</v>
      </c>
      <c r="I52" s="56">
        <f>ROUND((G52*E52),2)</f>
        <v>118.84</v>
      </c>
    </row>
    <row r="53" spans="1:9" ht="15.75" thickBot="1" x14ac:dyDescent="0.3">
      <c r="A53" s="129"/>
      <c r="B53" s="130"/>
      <c r="C53" s="130"/>
      <c r="D53" s="130"/>
      <c r="E53" s="130"/>
      <c r="F53" s="130"/>
      <c r="G53" s="130"/>
      <c r="H53" s="130"/>
      <c r="I53" s="131"/>
    </row>
    <row r="54" spans="1:9" ht="15.75" thickBot="1" x14ac:dyDescent="0.3">
      <c r="A54" s="13" t="s">
        <v>73</v>
      </c>
      <c r="B54" s="55"/>
      <c r="C54" s="22" t="s">
        <v>74</v>
      </c>
      <c r="D54" s="13"/>
      <c r="E54" s="23"/>
      <c r="F54" s="24"/>
      <c r="G54" s="14">
        <f>ROUND((SUM(G55:G73)),2)</f>
        <v>4667.33</v>
      </c>
      <c r="H54" s="14">
        <f>(SUM(H55:H73))</f>
        <v>4567.3099999999995</v>
      </c>
      <c r="I54" s="14">
        <f>(SUM(I55:I73))</f>
        <v>5825.6100000000015</v>
      </c>
    </row>
    <row r="55" spans="1:9" ht="15.75" thickBot="1" x14ac:dyDescent="0.3">
      <c r="A55" s="15" t="s">
        <v>75</v>
      </c>
      <c r="B55" s="20">
        <v>93358</v>
      </c>
      <c r="C55" s="16" t="s">
        <v>36</v>
      </c>
      <c r="D55" s="15" t="s">
        <v>37</v>
      </c>
      <c r="E55" s="17">
        <v>0.94</v>
      </c>
      <c r="F55" s="25">
        <f>TRUNC(61.43,2)</f>
        <v>61.43</v>
      </c>
      <c r="G55" s="19">
        <f>ROUND((F55+F55*$G$3),2)</f>
        <v>78.349999999999994</v>
      </c>
      <c r="H55" s="56">
        <f t="shared" ref="H55:H73" si="10">ROUND((F55*E55),2)</f>
        <v>57.74</v>
      </c>
      <c r="I55" s="56">
        <f t="shared" ref="I55:I61" si="11">ROUND((G55*E55),2)</f>
        <v>73.650000000000006</v>
      </c>
    </row>
    <row r="56" spans="1:9" ht="30.75" thickBot="1" x14ac:dyDescent="0.3">
      <c r="A56" s="15" t="s">
        <v>76</v>
      </c>
      <c r="B56" s="20">
        <v>101159</v>
      </c>
      <c r="C56" s="16" t="s">
        <v>180</v>
      </c>
      <c r="D56" s="15" t="s">
        <v>11</v>
      </c>
      <c r="E56" s="17">
        <v>5.65</v>
      </c>
      <c r="F56" s="25">
        <f>TRUNC(108.26,2)</f>
        <v>108.26</v>
      </c>
      <c r="G56" s="19">
        <f t="shared" ref="G56:G73" si="12">ROUND((F56+F56*$G$3),2)</f>
        <v>138.09</v>
      </c>
      <c r="H56" s="56">
        <f t="shared" si="10"/>
        <v>611.66999999999996</v>
      </c>
      <c r="I56" s="56">
        <f t="shared" si="11"/>
        <v>780.21</v>
      </c>
    </row>
    <row r="57" spans="1:9" ht="45.75" thickBot="1" x14ac:dyDescent="0.3">
      <c r="A57" s="15" t="s">
        <v>77</v>
      </c>
      <c r="B57" s="20">
        <v>87879</v>
      </c>
      <c r="C57" s="16" t="s">
        <v>39</v>
      </c>
      <c r="D57" s="15" t="s">
        <v>11</v>
      </c>
      <c r="E57" s="17">
        <v>4.6500000000000004</v>
      </c>
      <c r="F57" s="25">
        <f>TRUNC(3.45,2)</f>
        <v>3.45</v>
      </c>
      <c r="G57" s="19">
        <f t="shared" si="12"/>
        <v>4.4000000000000004</v>
      </c>
      <c r="H57" s="56">
        <f t="shared" si="10"/>
        <v>16.04</v>
      </c>
      <c r="I57" s="56">
        <f t="shared" si="11"/>
        <v>20.46</v>
      </c>
    </row>
    <row r="58" spans="1:9" ht="60.75" thickBot="1" x14ac:dyDescent="0.3">
      <c r="A58" s="15" t="s">
        <v>78</v>
      </c>
      <c r="B58" s="20">
        <v>87529</v>
      </c>
      <c r="C58" s="16" t="s">
        <v>40</v>
      </c>
      <c r="D58" s="15" t="s">
        <v>11</v>
      </c>
      <c r="E58" s="17">
        <v>5.65</v>
      </c>
      <c r="F58" s="25">
        <f>TRUNC(29.81,2)</f>
        <v>29.81</v>
      </c>
      <c r="G58" s="19">
        <f t="shared" si="12"/>
        <v>38.020000000000003</v>
      </c>
      <c r="H58" s="56">
        <f t="shared" si="10"/>
        <v>168.43</v>
      </c>
      <c r="I58" s="56">
        <f t="shared" si="11"/>
        <v>214.81</v>
      </c>
    </row>
    <row r="59" spans="1:9" ht="30.75" thickBot="1" x14ac:dyDescent="0.3">
      <c r="A59" s="15" t="s">
        <v>79</v>
      </c>
      <c r="B59" s="20">
        <v>88489</v>
      </c>
      <c r="C59" s="16" t="s">
        <v>333</v>
      </c>
      <c r="D59" s="15" t="s">
        <v>11</v>
      </c>
      <c r="E59" s="17">
        <v>5.65</v>
      </c>
      <c r="F59" s="25">
        <f>TRUNC(12.94,2)</f>
        <v>12.94</v>
      </c>
      <c r="G59" s="19">
        <f t="shared" si="12"/>
        <v>16.5</v>
      </c>
      <c r="H59" s="56">
        <f t="shared" si="10"/>
        <v>73.11</v>
      </c>
      <c r="I59" s="56">
        <f t="shared" si="11"/>
        <v>93.23</v>
      </c>
    </row>
    <row r="60" spans="1:9" ht="30.75" thickBot="1" x14ac:dyDescent="0.3">
      <c r="A60" s="15" t="s">
        <v>80</v>
      </c>
      <c r="B60" s="20">
        <v>96622</v>
      </c>
      <c r="C60" s="16" t="s">
        <v>332</v>
      </c>
      <c r="D60" s="15" t="s">
        <v>37</v>
      </c>
      <c r="E60" s="17">
        <v>1.33</v>
      </c>
      <c r="F60" s="25">
        <f>TRUNC(148.85,2)</f>
        <v>148.85</v>
      </c>
      <c r="G60" s="19">
        <f t="shared" si="12"/>
        <v>189.86</v>
      </c>
      <c r="H60" s="56">
        <f t="shared" si="10"/>
        <v>197.97</v>
      </c>
      <c r="I60" s="56">
        <f t="shared" si="11"/>
        <v>252.51</v>
      </c>
    </row>
    <row r="61" spans="1:9" ht="30.75" thickBot="1" x14ac:dyDescent="0.3">
      <c r="A61" s="15" t="s">
        <v>81</v>
      </c>
      <c r="B61" s="20" t="s">
        <v>82</v>
      </c>
      <c r="C61" s="16" t="s">
        <v>83</v>
      </c>
      <c r="D61" s="15" t="s">
        <v>18</v>
      </c>
      <c r="E61" s="17">
        <v>1</v>
      </c>
      <c r="F61" s="25">
        <f>TRUNC(2952.61,2)</f>
        <v>2952.61</v>
      </c>
      <c r="G61" s="19">
        <f t="shared" si="12"/>
        <v>3766.05</v>
      </c>
      <c r="H61" s="56">
        <f t="shared" si="10"/>
        <v>2952.61</v>
      </c>
      <c r="I61" s="56">
        <f t="shared" si="11"/>
        <v>3766.05</v>
      </c>
    </row>
    <row r="62" spans="1:9" ht="15.75" thickBot="1" x14ac:dyDescent="0.3">
      <c r="A62" s="15" t="s">
        <v>84</v>
      </c>
      <c r="B62" s="20"/>
      <c r="C62" s="16" t="s">
        <v>85</v>
      </c>
      <c r="D62" s="15"/>
      <c r="E62" s="17"/>
      <c r="F62" s="18"/>
      <c r="G62" s="19">
        <f t="shared" si="12"/>
        <v>0</v>
      </c>
      <c r="H62" s="56">
        <f t="shared" si="10"/>
        <v>0</v>
      </c>
      <c r="I62" s="56"/>
    </row>
    <row r="63" spans="1:9" ht="15.75" thickBot="1" x14ac:dyDescent="0.3">
      <c r="A63" s="15" t="s">
        <v>86</v>
      </c>
      <c r="B63" s="20">
        <v>93358</v>
      </c>
      <c r="C63" s="16" t="s">
        <v>36</v>
      </c>
      <c r="D63" s="15" t="s">
        <v>37</v>
      </c>
      <c r="E63" s="17">
        <v>0.08</v>
      </c>
      <c r="F63" s="25">
        <f>TRUNC(61.43,2)</f>
        <v>61.43</v>
      </c>
      <c r="G63" s="19">
        <f t="shared" si="12"/>
        <v>78.349999999999994</v>
      </c>
      <c r="H63" s="56">
        <f t="shared" si="10"/>
        <v>4.91</v>
      </c>
      <c r="I63" s="56">
        <f t="shared" ref="I63:I73" si="13">ROUND((G63*E63),2)</f>
        <v>6.27</v>
      </c>
    </row>
    <row r="64" spans="1:9" ht="30.75" thickBot="1" x14ac:dyDescent="0.3">
      <c r="A64" s="15" t="s">
        <v>87</v>
      </c>
      <c r="B64" s="20">
        <v>101159</v>
      </c>
      <c r="C64" s="16" t="s">
        <v>180</v>
      </c>
      <c r="D64" s="15" t="s">
        <v>11</v>
      </c>
      <c r="E64" s="17">
        <v>0.24</v>
      </c>
      <c r="F64" s="25">
        <f>TRUNC(108.26,2)</f>
        <v>108.26</v>
      </c>
      <c r="G64" s="19">
        <f t="shared" si="12"/>
        <v>138.09</v>
      </c>
      <c r="H64" s="56">
        <f t="shared" si="10"/>
        <v>25.98</v>
      </c>
      <c r="I64" s="56">
        <f t="shared" si="13"/>
        <v>33.14</v>
      </c>
    </row>
    <row r="65" spans="1:9" ht="60.75" thickBot="1" x14ac:dyDescent="0.3">
      <c r="A65" s="15" t="s">
        <v>88</v>
      </c>
      <c r="B65" s="20">
        <v>103357</v>
      </c>
      <c r="C65" s="16" t="s">
        <v>38</v>
      </c>
      <c r="D65" s="15" t="s">
        <v>11</v>
      </c>
      <c r="E65" s="17">
        <f>0.96+1.68</f>
        <v>2.6399999999999997</v>
      </c>
      <c r="F65" s="25">
        <f>TRUNC(44.1,2)</f>
        <v>44.1</v>
      </c>
      <c r="G65" s="19">
        <f t="shared" si="12"/>
        <v>56.25</v>
      </c>
      <c r="H65" s="56">
        <f t="shared" si="10"/>
        <v>116.42</v>
      </c>
      <c r="I65" s="56">
        <f t="shared" si="13"/>
        <v>148.5</v>
      </c>
    </row>
    <row r="66" spans="1:9" ht="45.75" thickBot="1" x14ac:dyDescent="0.3">
      <c r="A66" s="15" t="s">
        <v>89</v>
      </c>
      <c r="B66" s="20">
        <v>87879</v>
      </c>
      <c r="C66" s="16" t="s">
        <v>39</v>
      </c>
      <c r="D66" s="15" t="s">
        <v>11</v>
      </c>
      <c r="E66" s="17">
        <v>2.34</v>
      </c>
      <c r="F66" s="18">
        <f>TRUNC(3.45,2)</f>
        <v>3.45</v>
      </c>
      <c r="G66" s="19">
        <f t="shared" si="12"/>
        <v>4.4000000000000004</v>
      </c>
      <c r="H66" s="56">
        <f t="shared" si="10"/>
        <v>8.07</v>
      </c>
      <c r="I66" s="56">
        <f t="shared" si="13"/>
        <v>10.3</v>
      </c>
    </row>
    <row r="67" spans="1:9" ht="60.75" thickBot="1" x14ac:dyDescent="0.3">
      <c r="A67" s="15" t="s">
        <v>90</v>
      </c>
      <c r="B67" s="20">
        <v>87529</v>
      </c>
      <c r="C67" s="16" t="s">
        <v>40</v>
      </c>
      <c r="D67" s="15" t="s">
        <v>11</v>
      </c>
      <c r="E67" s="17">
        <v>2.34</v>
      </c>
      <c r="F67" s="25">
        <f>TRUNC(29.81,2)</f>
        <v>29.81</v>
      </c>
      <c r="G67" s="19">
        <f t="shared" si="12"/>
        <v>38.020000000000003</v>
      </c>
      <c r="H67" s="56">
        <f t="shared" si="10"/>
        <v>69.760000000000005</v>
      </c>
      <c r="I67" s="56">
        <f t="shared" si="13"/>
        <v>88.97</v>
      </c>
    </row>
    <row r="68" spans="1:9" ht="30.75" thickBot="1" x14ac:dyDescent="0.3">
      <c r="A68" s="15" t="s">
        <v>91</v>
      </c>
      <c r="B68" s="20">
        <v>88489</v>
      </c>
      <c r="C68" s="16" t="s">
        <v>333</v>
      </c>
      <c r="D68" s="15" t="s">
        <v>11</v>
      </c>
      <c r="E68" s="17">
        <v>2.34</v>
      </c>
      <c r="F68" s="18">
        <f>TRUNC(12.94,2)</f>
        <v>12.94</v>
      </c>
      <c r="G68" s="19">
        <f t="shared" si="12"/>
        <v>16.5</v>
      </c>
      <c r="H68" s="56">
        <f t="shared" si="10"/>
        <v>30.28</v>
      </c>
      <c r="I68" s="56">
        <f t="shared" si="13"/>
        <v>38.61</v>
      </c>
    </row>
    <row r="69" spans="1:9" ht="30.75" thickBot="1" x14ac:dyDescent="0.3">
      <c r="A69" s="15" t="s">
        <v>92</v>
      </c>
      <c r="B69" s="20" t="s">
        <v>132</v>
      </c>
      <c r="C69" s="16" t="s">
        <v>97</v>
      </c>
      <c r="D69" s="15" t="s">
        <v>15</v>
      </c>
      <c r="E69" s="17">
        <v>4.08</v>
      </c>
      <c r="F69" s="18">
        <f>TRUNC(19.73,2)</f>
        <v>19.73</v>
      </c>
      <c r="G69" s="19">
        <f t="shared" si="12"/>
        <v>25.17</v>
      </c>
      <c r="H69" s="56">
        <f t="shared" si="10"/>
        <v>80.5</v>
      </c>
      <c r="I69" s="56">
        <f t="shared" si="13"/>
        <v>102.69</v>
      </c>
    </row>
    <row r="70" spans="1:9" ht="30.75" thickBot="1" x14ac:dyDescent="0.3">
      <c r="A70" s="15" t="s">
        <v>93</v>
      </c>
      <c r="B70" s="20">
        <v>89355</v>
      </c>
      <c r="C70" s="16" t="s">
        <v>98</v>
      </c>
      <c r="D70" s="15" t="s">
        <v>15</v>
      </c>
      <c r="E70" s="17">
        <v>4</v>
      </c>
      <c r="F70" s="18">
        <f>TRUNC(15.39,2)</f>
        <v>15.39</v>
      </c>
      <c r="G70" s="19">
        <f t="shared" si="12"/>
        <v>19.63</v>
      </c>
      <c r="H70" s="56">
        <f t="shared" si="10"/>
        <v>61.56</v>
      </c>
      <c r="I70" s="56">
        <f t="shared" si="13"/>
        <v>78.52</v>
      </c>
    </row>
    <row r="71" spans="1:9" ht="15.75" thickBot="1" x14ac:dyDescent="0.3">
      <c r="A71" s="15" t="s">
        <v>94</v>
      </c>
      <c r="B71" s="20" t="s">
        <v>99</v>
      </c>
      <c r="C71" s="16" t="s">
        <v>100</v>
      </c>
      <c r="D71" s="15" t="s">
        <v>18</v>
      </c>
      <c r="E71" s="17">
        <v>1</v>
      </c>
      <c r="F71" s="18">
        <f>TRUNC(5.77,2)</f>
        <v>5.77</v>
      </c>
      <c r="G71" s="19">
        <f t="shared" si="12"/>
        <v>7.36</v>
      </c>
      <c r="H71" s="56">
        <f t="shared" si="10"/>
        <v>5.77</v>
      </c>
      <c r="I71" s="56">
        <f t="shared" si="13"/>
        <v>7.36</v>
      </c>
    </row>
    <row r="72" spans="1:9" ht="15.75" thickBot="1" x14ac:dyDescent="0.3">
      <c r="A72" s="15" t="s">
        <v>95</v>
      </c>
      <c r="B72" s="20">
        <v>86916</v>
      </c>
      <c r="C72" s="16" t="s">
        <v>101</v>
      </c>
      <c r="D72" s="15" t="s">
        <v>18</v>
      </c>
      <c r="E72" s="17">
        <v>3</v>
      </c>
      <c r="F72" s="18">
        <f>TRUNC(22.75,2)</f>
        <v>22.75</v>
      </c>
      <c r="G72" s="19">
        <f t="shared" si="12"/>
        <v>29.02</v>
      </c>
      <c r="H72" s="56">
        <f t="shared" si="10"/>
        <v>68.25</v>
      </c>
      <c r="I72" s="56">
        <f t="shared" si="13"/>
        <v>87.06</v>
      </c>
    </row>
    <row r="73" spans="1:9" ht="30.75" thickBot="1" x14ac:dyDescent="0.3">
      <c r="A73" s="15" t="s">
        <v>96</v>
      </c>
      <c r="B73" s="20">
        <v>94489</v>
      </c>
      <c r="C73" s="16" t="s">
        <v>102</v>
      </c>
      <c r="D73" s="15" t="s">
        <v>18</v>
      </c>
      <c r="E73" s="17">
        <v>1</v>
      </c>
      <c r="F73" s="18">
        <f>TRUNC(18.24,2)</f>
        <v>18.239999999999998</v>
      </c>
      <c r="G73" s="19">
        <f t="shared" si="12"/>
        <v>23.27</v>
      </c>
      <c r="H73" s="56">
        <f t="shared" si="10"/>
        <v>18.239999999999998</v>
      </c>
      <c r="I73" s="56">
        <f t="shared" si="13"/>
        <v>23.27</v>
      </c>
    </row>
    <row r="74" spans="1:9" ht="15.75" thickBot="1" x14ac:dyDescent="0.3">
      <c r="A74" s="129"/>
      <c r="B74" s="130"/>
      <c r="C74" s="130"/>
      <c r="D74" s="130"/>
      <c r="E74" s="130"/>
      <c r="F74" s="130"/>
      <c r="G74" s="130"/>
      <c r="H74" s="130"/>
      <c r="I74" s="131"/>
    </row>
    <row r="75" spans="1:9" ht="15.75" thickBot="1" x14ac:dyDescent="0.3">
      <c r="A75" s="13" t="s">
        <v>103</v>
      </c>
      <c r="B75" s="55"/>
      <c r="C75" s="22" t="s">
        <v>104</v>
      </c>
      <c r="D75" s="13"/>
      <c r="E75" s="23"/>
      <c r="F75" s="24"/>
      <c r="G75" s="14">
        <f>ROUND((SUM(G76:G76)),2)</f>
        <v>214.07</v>
      </c>
      <c r="H75" s="14">
        <f>SUM(H76:H76)</f>
        <v>167.83</v>
      </c>
      <c r="I75" s="14">
        <f>SUM(I76:I76)</f>
        <v>214.07</v>
      </c>
    </row>
    <row r="76" spans="1:9" ht="30.75" thickBot="1" x14ac:dyDescent="0.3">
      <c r="A76" s="15" t="s">
        <v>105</v>
      </c>
      <c r="B76" s="20">
        <v>97895</v>
      </c>
      <c r="C76" s="16" t="s">
        <v>359</v>
      </c>
      <c r="D76" s="15" t="s">
        <v>18</v>
      </c>
      <c r="E76" s="17">
        <v>1</v>
      </c>
      <c r="F76" s="18">
        <f>TRUNC(167.83,2)</f>
        <v>167.83</v>
      </c>
      <c r="G76" s="19">
        <f t="shared" ref="G76" si="14">ROUND((F76+F76*$G$3),2)</f>
        <v>214.07</v>
      </c>
      <c r="H76" s="56">
        <f t="shared" ref="H76" si="15">ROUND((F76*E76),2)</f>
        <v>167.83</v>
      </c>
      <c r="I76" s="56">
        <f>ROUND((G76*E76),2)</f>
        <v>214.07</v>
      </c>
    </row>
    <row r="77" spans="1:9" ht="15.75" thickBot="1" x14ac:dyDescent="0.3">
      <c r="A77" s="129"/>
      <c r="B77" s="130"/>
      <c r="C77" s="130"/>
      <c r="D77" s="130"/>
      <c r="E77" s="130"/>
      <c r="F77" s="130"/>
      <c r="G77" s="130"/>
      <c r="H77" s="130"/>
      <c r="I77" s="131"/>
    </row>
    <row r="78" spans="1:9" ht="15.75" thickBot="1" x14ac:dyDescent="0.3">
      <c r="A78" s="13" t="s">
        <v>106</v>
      </c>
      <c r="B78" s="55"/>
      <c r="C78" s="128" t="s">
        <v>107</v>
      </c>
      <c r="D78" s="128"/>
      <c r="E78" s="128"/>
      <c r="F78" s="128"/>
      <c r="G78" s="14">
        <f>ROUND((SUM(G80:G88)),2)</f>
        <v>422.53</v>
      </c>
      <c r="H78" s="14">
        <f>SUM(H80:H88)</f>
        <v>2857.2100000000005</v>
      </c>
      <c r="I78" s="14">
        <f>SUM(I80:I88)</f>
        <v>3644.4200000000005</v>
      </c>
    </row>
    <row r="79" spans="1:9" ht="15.75" thickBot="1" x14ac:dyDescent="0.3">
      <c r="A79" s="129"/>
      <c r="B79" s="130"/>
      <c r="C79" s="130"/>
      <c r="D79" s="130"/>
      <c r="E79" s="130"/>
      <c r="F79" s="130"/>
      <c r="G79" s="130"/>
      <c r="H79" s="130"/>
      <c r="I79" s="131"/>
    </row>
    <row r="80" spans="1:9" ht="15.75" thickBot="1" x14ac:dyDescent="0.3">
      <c r="A80" s="15" t="s">
        <v>108</v>
      </c>
      <c r="B80" s="20">
        <v>99063</v>
      </c>
      <c r="C80" s="16" t="s">
        <v>117</v>
      </c>
      <c r="D80" s="15" t="s">
        <v>15</v>
      </c>
      <c r="E80" s="17">
        <f>E85</f>
        <v>100</v>
      </c>
      <c r="F80" s="18">
        <f>TRUNC(4.18,2)</f>
        <v>4.18</v>
      </c>
      <c r="G80" s="19">
        <f>ROUND((F80+F80*$G$3),2)</f>
        <v>5.33</v>
      </c>
      <c r="H80" s="56">
        <f t="shared" ref="H80:H88" si="16">ROUND((F80*E80),2)</f>
        <v>418</v>
      </c>
      <c r="I80" s="56">
        <f t="shared" ref="I80:I88" si="17">ROUND((G80*E80),2)</f>
        <v>533</v>
      </c>
    </row>
    <row r="81" spans="1:9" ht="75.75" thickBot="1" x14ac:dyDescent="0.3">
      <c r="A81" s="15" t="s">
        <v>109</v>
      </c>
      <c r="B81" s="20">
        <v>90105</v>
      </c>
      <c r="C81" s="16" t="s">
        <v>118</v>
      </c>
      <c r="D81" s="15" t="s">
        <v>37</v>
      </c>
      <c r="E81" s="17">
        <f>E85*0.5*0.55</f>
        <v>27.500000000000004</v>
      </c>
      <c r="F81" s="25">
        <f>TRUNC(7.49,2)</f>
        <v>7.49</v>
      </c>
      <c r="G81" s="19">
        <f t="shared" ref="G81:G88" si="18">ROUND((F81+F81*$G$3),2)</f>
        <v>9.5500000000000007</v>
      </c>
      <c r="H81" s="56">
        <f t="shared" si="16"/>
        <v>205.98</v>
      </c>
      <c r="I81" s="56">
        <f t="shared" si="17"/>
        <v>262.63</v>
      </c>
    </row>
    <row r="82" spans="1:9" ht="45.75" thickBot="1" x14ac:dyDescent="0.3">
      <c r="A82" s="15" t="s">
        <v>110</v>
      </c>
      <c r="B82" s="54">
        <v>102311</v>
      </c>
      <c r="C82" s="16" t="s">
        <v>119</v>
      </c>
      <c r="D82" s="15" t="s">
        <v>37</v>
      </c>
      <c r="E82" s="17">
        <f>E85*0.5*0.25</f>
        <v>12.5</v>
      </c>
      <c r="F82" s="25">
        <f>TRUNC(11.39,2)</f>
        <v>11.39</v>
      </c>
      <c r="G82" s="19">
        <f t="shared" si="18"/>
        <v>14.53</v>
      </c>
      <c r="H82" s="56">
        <f t="shared" si="16"/>
        <v>142.38</v>
      </c>
      <c r="I82" s="56">
        <f t="shared" si="17"/>
        <v>181.63</v>
      </c>
    </row>
    <row r="83" spans="1:9" ht="15.75" thickBot="1" x14ac:dyDescent="0.3">
      <c r="A83" s="15" t="s">
        <v>111</v>
      </c>
      <c r="B83" s="20" t="s">
        <v>120</v>
      </c>
      <c r="C83" s="16" t="s">
        <v>131</v>
      </c>
      <c r="D83" s="15" t="s">
        <v>37</v>
      </c>
      <c r="E83" s="17">
        <f>E85*0.5*0.1</f>
        <v>5</v>
      </c>
      <c r="F83" s="25">
        <f>TRUNC(128.9,2)</f>
        <v>128.9</v>
      </c>
      <c r="G83" s="19">
        <f t="shared" si="18"/>
        <v>164.41</v>
      </c>
      <c r="H83" s="56">
        <f t="shared" si="16"/>
        <v>644.5</v>
      </c>
      <c r="I83" s="56">
        <f t="shared" si="17"/>
        <v>822.05</v>
      </c>
    </row>
    <row r="84" spans="1:9" ht="60.75" thickBot="1" x14ac:dyDescent="0.3">
      <c r="A84" s="15" t="s">
        <v>112</v>
      </c>
      <c r="B84" s="20">
        <v>93378</v>
      </c>
      <c r="C84" s="16" t="s">
        <v>121</v>
      </c>
      <c r="D84" s="15" t="s">
        <v>37</v>
      </c>
      <c r="E84" s="17">
        <f>E85*0.5*0.7</f>
        <v>35</v>
      </c>
      <c r="F84" s="25">
        <f>TRUNC(19.97,2)</f>
        <v>19.97</v>
      </c>
      <c r="G84" s="19">
        <f t="shared" si="18"/>
        <v>25.47</v>
      </c>
      <c r="H84" s="56">
        <f t="shared" si="16"/>
        <v>698.95</v>
      </c>
      <c r="I84" s="56">
        <f t="shared" si="17"/>
        <v>891.45</v>
      </c>
    </row>
    <row r="85" spans="1:9" ht="30.75" thickBot="1" x14ac:dyDescent="0.3">
      <c r="A85" s="15" t="s">
        <v>113</v>
      </c>
      <c r="B85" s="20">
        <v>89446</v>
      </c>
      <c r="C85" s="16" t="s">
        <v>122</v>
      </c>
      <c r="D85" s="15" t="s">
        <v>15</v>
      </c>
      <c r="E85" s="17">
        <v>100</v>
      </c>
      <c r="F85" s="21">
        <f>TRUNC(5.94,2)</f>
        <v>5.94</v>
      </c>
      <c r="G85" s="19">
        <f t="shared" si="18"/>
        <v>7.58</v>
      </c>
      <c r="H85" s="56">
        <f t="shared" si="16"/>
        <v>594</v>
      </c>
      <c r="I85" s="56">
        <f t="shared" si="17"/>
        <v>758</v>
      </c>
    </row>
    <row r="86" spans="1:9" ht="36.75" customHeight="1" thickBot="1" x14ac:dyDescent="0.3">
      <c r="A86" s="15" t="s">
        <v>114</v>
      </c>
      <c r="B86" s="20" t="s">
        <v>123</v>
      </c>
      <c r="C86" s="16" t="s">
        <v>124</v>
      </c>
      <c r="D86" s="15" t="s">
        <v>18</v>
      </c>
      <c r="E86" s="17">
        <v>1</v>
      </c>
      <c r="F86" s="18">
        <f>TRUNC(4.18,)</f>
        <v>4</v>
      </c>
      <c r="G86" s="19">
        <f t="shared" si="18"/>
        <v>5.0999999999999996</v>
      </c>
      <c r="H86" s="56">
        <f t="shared" si="16"/>
        <v>4</v>
      </c>
      <c r="I86" s="56">
        <f t="shared" si="17"/>
        <v>5.0999999999999996</v>
      </c>
    </row>
    <row r="87" spans="1:9" ht="36" customHeight="1" thickBot="1" x14ac:dyDescent="0.3">
      <c r="A87" s="15" t="s">
        <v>115</v>
      </c>
      <c r="B87" s="20" t="s">
        <v>125</v>
      </c>
      <c r="C87" s="16" t="s">
        <v>126</v>
      </c>
      <c r="D87" s="15" t="s">
        <v>18</v>
      </c>
      <c r="E87" s="17">
        <v>1</v>
      </c>
      <c r="F87" s="18">
        <f>TRUNC(36.48,2)</f>
        <v>36.479999999999997</v>
      </c>
      <c r="G87" s="19">
        <f t="shared" si="18"/>
        <v>46.53</v>
      </c>
      <c r="H87" s="56">
        <f t="shared" si="16"/>
        <v>36.479999999999997</v>
      </c>
      <c r="I87" s="56">
        <f t="shared" si="17"/>
        <v>46.53</v>
      </c>
    </row>
    <row r="88" spans="1:9" ht="30.75" thickBot="1" x14ac:dyDescent="0.3">
      <c r="A88" s="15" t="s">
        <v>116</v>
      </c>
      <c r="B88" s="20" t="s">
        <v>127</v>
      </c>
      <c r="C88" s="16" t="s">
        <v>128</v>
      </c>
      <c r="D88" s="15" t="s">
        <v>18</v>
      </c>
      <c r="E88" s="17">
        <v>1</v>
      </c>
      <c r="F88" s="18">
        <f>TRUNC(112.92,2)</f>
        <v>112.92</v>
      </c>
      <c r="G88" s="19">
        <f t="shared" si="18"/>
        <v>144.03</v>
      </c>
      <c r="H88" s="56">
        <f t="shared" si="16"/>
        <v>112.92</v>
      </c>
      <c r="I88" s="56">
        <f t="shared" si="17"/>
        <v>144.03</v>
      </c>
    </row>
    <row r="89" spans="1:9" ht="15.75" thickBot="1" x14ac:dyDescent="0.3">
      <c r="A89" s="129"/>
      <c r="B89" s="130"/>
      <c r="C89" s="130"/>
      <c r="D89" s="130"/>
      <c r="E89" s="130"/>
      <c r="F89" s="130"/>
      <c r="G89" s="130"/>
      <c r="H89" s="130"/>
      <c r="I89" s="131"/>
    </row>
    <row r="90" spans="1:9" s="1" customFormat="1" ht="15.75" thickBot="1" x14ac:dyDescent="0.3">
      <c r="A90" s="125" t="s">
        <v>129</v>
      </c>
      <c r="B90" s="126"/>
      <c r="C90" s="126"/>
      <c r="D90" s="126"/>
      <c r="E90" s="126"/>
      <c r="F90" s="126"/>
      <c r="G90" s="127"/>
      <c r="H90" s="14">
        <f>ROUND((SUM(H78,H45,H12,H7)),3)</f>
        <v>51470.879999999997</v>
      </c>
      <c r="I90" s="14">
        <f>ROUND((SUM(I78,I45,I12,I7)),3)</f>
        <v>65650.73</v>
      </c>
    </row>
  </sheetData>
  <mergeCells count="21">
    <mergeCell ref="A79:I79"/>
    <mergeCell ref="A89:I89"/>
    <mergeCell ref="A90:G90"/>
    <mergeCell ref="C45:F45"/>
    <mergeCell ref="A46:I46"/>
    <mergeCell ref="A53:I53"/>
    <mergeCell ref="A74:I74"/>
    <mergeCell ref="A77:I77"/>
    <mergeCell ref="C78:F78"/>
    <mergeCell ref="A44:I44"/>
    <mergeCell ref="A1:I2"/>
    <mergeCell ref="A3:E3"/>
    <mergeCell ref="G3:I3"/>
    <mergeCell ref="A4:I4"/>
    <mergeCell ref="A6:I6"/>
    <mergeCell ref="C7:F7"/>
    <mergeCell ref="A8:I8"/>
    <mergeCell ref="A11:I11"/>
    <mergeCell ref="C12:F12"/>
    <mergeCell ref="A13:I13"/>
    <mergeCell ref="A25:I2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2D171-6691-438E-8CBE-75B2542B7C95}">
  <dimension ref="A1:J90"/>
  <sheetViews>
    <sheetView showGridLines="0" zoomScaleNormal="100" workbookViewId="0">
      <selection activeCell="I90" sqref="A1:I90"/>
    </sheetView>
  </sheetViews>
  <sheetFormatPr defaultRowHeight="15" x14ac:dyDescent="0.25"/>
  <cols>
    <col min="1" max="1" width="7.7109375" bestFit="1" customWidth="1"/>
    <col min="2" max="2" width="14.28515625" style="10" customWidth="1"/>
    <col min="3" max="3" width="65.140625" style="2" customWidth="1"/>
    <col min="4" max="4" width="9.28515625" bestFit="1" customWidth="1"/>
    <col min="5" max="5" width="13.140625" style="4" bestFit="1" customWidth="1"/>
    <col min="6" max="6" width="12.42578125" style="6" bestFit="1" customWidth="1"/>
    <col min="7" max="7" width="13.7109375" style="3" customWidth="1"/>
    <col min="8" max="9" width="16.42578125" customWidth="1"/>
    <col min="10" max="10" width="18.85546875" bestFit="1" customWidth="1"/>
  </cols>
  <sheetData>
    <row r="1" spans="1:9" ht="67.5" customHeight="1" x14ac:dyDescent="0.25">
      <c r="A1" s="134" t="s">
        <v>358</v>
      </c>
      <c r="B1" s="135"/>
      <c r="C1" s="135"/>
      <c r="D1" s="135"/>
      <c r="E1" s="135"/>
      <c r="F1" s="135"/>
      <c r="G1" s="135"/>
      <c r="H1" s="135"/>
      <c r="I1" s="136"/>
    </row>
    <row r="2" spans="1:9" ht="72.75" customHeight="1" thickBot="1" x14ac:dyDescent="0.3">
      <c r="A2" s="137"/>
      <c r="B2" s="138"/>
      <c r="C2" s="138"/>
      <c r="D2" s="138"/>
      <c r="E2" s="138"/>
      <c r="F2" s="138"/>
      <c r="G2" s="138"/>
      <c r="H2" s="138"/>
      <c r="I2" s="139"/>
    </row>
    <row r="3" spans="1:9" ht="15.75" thickBot="1" x14ac:dyDescent="0.3">
      <c r="A3" s="132" t="s">
        <v>339</v>
      </c>
      <c r="B3" s="132"/>
      <c r="C3" s="132"/>
      <c r="D3" s="132"/>
      <c r="E3" s="133"/>
      <c r="F3" s="88" t="s">
        <v>340</v>
      </c>
      <c r="G3" s="144">
        <f>BDI!B33</f>
        <v>0.27550000000000002</v>
      </c>
      <c r="H3" s="144"/>
      <c r="I3" s="144"/>
    </row>
    <row r="4" spans="1:9" ht="15.75" thickBot="1" x14ac:dyDescent="0.3">
      <c r="A4" s="133" t="s">
        <v>379</v>
      </c>
      <c r="B4" s="142"/>
      <c r="C4" s="142"/>
      <c r="D4" s="142"/>
      <c r="E4" s="142"/>
      <c r="F4" s="142"/>
      <c r="G4" s="142"/>
      <c r="H4" s="142"/>
      <c r="I4" s="143"/>
    </row>
    <row r="5" spans="1:9" s="9" customFormat="1" ht="30" customHeight="1" thickBot="1" x14ac:dyDescent="0.3">
      <c r="A5" s="26" t="s">
        <v>0</v>
      </c>
      <c r="B5" s="27" t="s">
        <v>1</v>
      </c>
      <c r="C5" s="27" t="s">
        <v>2</v>
      </c>
      <c r="D5" s="26" t="s">
        <v>3</v>
      </c>
      <c r="E5" s="28" t="s">
        <v>4</v>
      </c>
      <c r="F5" s="29" t="s">
        <v>5</v>
      </c>
      <c r="G5" s="89" t="s">
        <v>378</v>
      </c>
      <c r="H5" s="30" t="s">
        <v>382</v>
      </c>
      <c r="I5" s="30" t="s">
        <v>360</v>
      </c>
    </row>
    <row r="6" spans="1:9" ht="15.75" thickBot="1" x14ac:dyDescent="0.3">
      <c r="A6" s="129"/>
      <c r="B6" s="130"/>
      <c r="C6" s="130"/>
      <c r="D6" s="130"/>
      <c r="E6" s="130"/>
      <c r="F6" s="130"/>
      <c r="G6" s="130"/>
      <c r="H6" s="130"/>
      <c r="I6" s="131"/>
    </row>
    <row r="7" spans="1:9" s="1" customFormat="1" ht="15.75" thickBot="1" x14ac:dyDescent="0.3">
      <c r="A7" s="58" t="s">
        <v>7</v>
      </c>
      <c r="B7" s="59"/>
      <c r="C7" s="140" t="s">
        <v>12</v>
      </c>
      <c r="D7" s="140"/>
      <c r="E7" s="140"/>
      <c r="F7" s="140"/>
      <c r="G7" s="60">
        <f>ROUND((SUM(G9:G10)),2)</f>
        <v>38026.85</v>
      </c>
      <c r="H7" s="60">
        <f>SUM(H9:H10)</f>
        <v>39321.509999999995</v>
      </c>
      <c r="I7" s="60">
        <f>SUM(I9:I10)</f>
        <v>50153.91</v>
      </c>
    </row>
    <row r="8" spans="1:9" ht="15.75" thickBot="1" x14ac:dyDescent="0.3">
      <c r="A8" s="129"/>
      <c r="B8" s="130"/>
      <c r="C8" s="130"/>
      <c r="D8" s="130"/>
      <c r="E8" s="130"/>
      <c r="F8" s="130"/>
      <c r="G8" s="130"/>
      <c r="H8" s="130"/>
      <c r="I8" s="131"/>
    </row>
    <row r="9" spans="1:9" ht="30.75" thickBot="1" x14ac:dyDescent="0.3">
      <c r="A9" s="15" t="s">
        <v>8</v>
      </c>
      <c r="B9" s="20" t="s">
        <v>13</v>
      </c>
      <c r="C9" s="16" t="s">
        <v>14</v>
      </c>
      <c r="D9" s="15" t="s">
        <v>15</v>
      </c>
      <c r="E9" s="17">
        <v>200</v>
      </c>
      <c r="F9" s="21">
        <f>TRUNC((COMPOSIÇÕES!G274),2)</f>
        <v>47.78</v>
      </c>
      <c r="G9" s="66">
        <f>ROUND((F9+F9*$G$3),2)</f>
        <v>60.94</v>
      </c>
      <c r="H9" s="56">
        <f>ROUND((F9*E9),2)</f>
        <v>9556</v>
      </c>
      <c r="I9" s="56">
        <f>ROUND((G9*E9),2)</f>
        <v>12188</v>
      </c>
    </row>
    <row r="10" spans="1:9" ht="15.75" thickBot="1" x14ac:dyDescent="0.3">
      <c r="A10" s="15" t="s">
        <v>9</v>
      </c>
      <c r="B10" s="69" t="s">
        <v>16</v>
      </c>
      <c r="C10" s="57" t="s">
        <v>17</v>
      </c>
      <c r="D10" s="68" t="s">
        <v>18</v>
      </c>
      <c r="E10" s="70">
        <v>1</v>
      </c>
      <c r="F10" s="71">
        <f>TRUNC((COMPOSIÇÕES!G37),2)</f>
        <v>29765.51</v>
      </c>
      <c r="G10" s="66">
        <f>ROUND((F10+F10*$G$3),2)</f>
        <v>37965.910000000003</v>
      </c>
      <c r="H10" s="56">
        <f>ROUND((F10*E10),2)</f>
        <v>29765.51</v>
      </c>
      <c r="I10" s="56">
        <f>ROUND((G10*E10),2)</f>
        <v>37965.910000000003</v>
      </c>
    </row>
    <row r="11" spans="1:9" ht="15.75" thickBot="1" x14ac:dyDescent="0.3">
      <c r="A11" s="129"/>
      <c r="B11" s="130"/>
      <c r="C11" s="130"/>
      <c r="D11" s="130"/>
      <c r="E11" s="130"/>
      <c r="F11" s="130"/>
      <c r="G11" s="130"/>
      <c r="H11" s="130"/>
      <c r="I11" s="131"/>
    </row>
    <row r="12" spans="1:9" ht="15.75" thickBot="1" x14ac:dyDescent="0.3">
      <c r="A12" s="73" t="s">
        <v>19</v>
      </c>
      <c r="B12" s="74"/>
      <c r="C12" s="141" t="s">
        <v>20</v>
      </c>
      <c r="D12" s="141"/>
      <c r="E12" s="141"/>
      <c r="F12" s="141"/>
      <c r="G12" s="75">
        <f>ROUND((SUM(G14,G26,G33)),2)</f>
        <v>8432.16</v>
      </c>
      <c r="H12" s="75">
        <f>SUM(H14,H26,H33)</f>
        <v>6744.0299999999988</v>
      </c>
      <c r="I12" s="75">
        <f>SUM(I14,I26,I33)</f>
        <v>8601.880000000001</v>
      </c>
    </row>
    <row r="13" spans="1:9" ht="15.75" thickBot="1" x14ac:dyDescent="0.3">
      <c r="A13" s="129"/>
      <c r="B13" s="130"/>
      <c r="C13" s="130"/>
      <c r="D13" s="130"/>
      <c r="E13" s="130"/>
      <c r="F13" s="130"/>
      <c r="G13" s="130"/>
      <c r="H13" s="130"/>
      <c r="I13" s="131"/>
    </row>
    <row r="14" spans="1:9" s="1" customFormat="1" ht="15.75" thickBot="1" x14ac:dyDescent="0.3">
      <c r="A14" s="76" t="s">
        <v>21</v>
      </c>
      <c r="B14" s="27"/>
      <c r="C14" s="77" t="s">
        <v>22</v>
      </c>
      <c r="D14" s="76"/>
      <c r="E14" s="78"/>
      <c r="F14" s="79"/>
      <c r="G14" s="80">
        <f>ROUND((SUM(G15:G24)),2)</f>
        <v>3630.84</v>
      </c>
      <c r="H14" s="80">
        <f>(SUM(H15:H24))</f>
        <v>3456.3599999999997</v>
      </c>
      <c r="I14" s="80">
        <f>(SUM(I15:I24))</f>
        <v>4408.59</v>
      </c>
    </row>
    <row r="15" spans="1:9" ht="30.75" thickBot="1" x14ac:dyDescent="0.3">
      <c r="A15" s="15" t="s">
        <v>24</v>
      </c>
      <c r="B15" s="20" t="s">
        <v>34</v>
      </c>
      <c r="C15" s="16" t="s">
        <v>35</v>
      </c>
      <c r="D15" s="15" t="s">
        <v>11</v>
      </c>
      <c r="E15" s="17">
        <v>25</v>
      </c>
      <c r="F15" s="18">
        <f>TRUNC(9.25,2)</f>
        <v>9.25</v>
      </c>
      <c r="G15" s="19">
        <f>ROUND((F15+F15*$G$3),2)</f>
        <v>11.8</v>
      </c>
      <c r="H15" s="56">
        <f>ROUND((F15*E15),2)</f>
        <v>231.25</v>
      </c>
      <c r="I15" s="56">
        <f t="shared" ref="I15:I24" si="0">ROUND((G15*E15),2)</f>
        <v>295</v>
      </c>
    </row>
    <row r="16" spans="1:9" ht="15.75" thickBot="1" x14ac:dyDescent="0.3">
      <c r="A16" s="15" t="s">
        <v>25</v>
      </c>
      <c r="B16" s="20">
        <v>93358</v>
      </c>
      <c r="C16" s="16" t="s">
        <v>36</v>
      </c>
      <c r="D16" s="15" t="s">
        <v>37</v>
      </c>
      <c r="E16" s="17">
        <v>0.17</v>
      </c>
      <c r="F16" s="18">
        <f>TRUNC(61.43,2)</f>
        <v>61.43</v>
      </c>
      <c r="G16" s="19">
        <f t="shared" ref="G16:G24" si="1">ROUND((F16+F16*$G$3),2)</f>
        <v>78.349999999999994</v>
      </c>
      <c r="H16" s="56">
        <f t="shared" ref="H16:H24" si="2">ROUND((F16*E16),2)</f>
        <v>10.44</v>
      </c>
      <c r="I16" s="56">
        <f t="shared" si="0"/>
        <v>13.32</v>
      </c>
    </row>
    <row r="17" spans="1:10" ht="30.75" thickBot="1" x14ac:dyDescent="0.3">
      <c r="A17" s="15" t="s">
        <v>26</v>
      </c>
      <c r="B17" s="20">
        <v>101159</v>
      </c>
      <c r="C17" s="16" t="s">
        <v>180</v>
      </c>
      <c r="D17" s="15" t="s">
        <v>11</v>
      </c>
      <c r="E17" s="17">
        <v>0.84</v>
      </c>
      <c r="F17" s="18">
        <f>TRUNC(108.26,2)</f>
        <v>108.26</v>
      </c>
      <c r="G17" s="19">
        <f t="shared" si="1"/>
        <v>138.09</v>
      </c>
      <c r="H17" s="56">
        <f t="shared" si="2"/>
        <v>90.94</v>
      </c>
      <c r="I17" s="56">
        <f t="shared" si="0"/>
        <v>116</v>
      </c>
    </row>
    <row r="18" spans="1:10" ht="60.75" thickBot="1" x14ac:dyDescent="0.3">
      <c r="A18" s="15" t="s">
        <v>27</v>
      </c>
      <c r="B18" s="20">
        <v>103357</v>
      </c>
      <c r="C18" s="16" t="s">
        <v>38</v>
      </c>
      <c r="D18" s="15" t="s">
        <v>11</v>
      </c>
      <c r="E18" s="17">
        <v>1.68</v>
      </c>
      <c r="F18" s="25">
        <f>TRUNC(44.1,2)</f>
        <v>44.1</v>
      </c>
      <c r="G18" s="19">
        <f t="shared" si="1"/>
        <v>56.25</v>
      </c>
      <c r="H18" s="56">
        <f t="shared" si="2"/>
        <v>74.09</v>
      </c>
      <c r="I18" s="56">
        <f t="shared" si="0"/>
        <v>94.5</v>
      </c>
    </row>
    <row r="19" spans="1:10" ht="45.75" thickBot="1" x14ac:dyDescent="0.3">
      <c r="A19" s="15" t="s">
        <v>28</v>
      </c>
      <c r="B19" s="20">
        <v>87879</v>
      </c>
      <c r="C19" s="16" t="s">
        <v>39</v>
      </c>
      <c r="D19" s="15" t="s">
        <v>11</v>
      </c>
      <c r="E19" s="17">
        <v>3.36</v>
      </c>
      <c r="F19" s="18">
        <f>TRUNC(3.45,2)</f>
        <v>3.45</v>
      </c>
      <c r="G19" s="19">
        <f t="shared" si="1"/>
        <v>4.4000000000000004</v>
      </c>
      <c r="H19" s="56">
        <f t="shared" si="2"/>
        <v>11.59</v>
      </c>
      <c r="I19" s="56">
        <f t="shared" si="0"/>
        <v>14.78</v>
      </c>
    </row>
    <row r="20" spans="1:10" ht="60.75" thickBot="1" x14ac:dyDescent="0.3">
      <c r="A20" s="15" t="s">
        <v>29</v>
      </c>
      <c r="B20" s="20">
        <v>87529</v>
      </c>
      <c r="C20" s="16" t="s">
        <v>40</v>
      </c>
      <c r="D20" s="15" t="s">
        <v>11</v>
      </c>
      <c r="E20" s="17">
        <v>3.36</v>
      </c>
      <c r="F20" s="25">
        <f>TRUNC(29.81,2)</f>
        <v>29.81</v>
      </c>
      <c r="G20" s="19">
        <f t="shared" si="1"/>
        <v>38.020000000000003</v>
      </c>
      <c r="H20" s="56">
        <f t="shared" si="2"/>
        <v>100.16</v>
      </c>
      <c r="I20" s="56">
        <f t="shared" si="0"/>
        <v>127.75</v>
      </c>
    </row>
    <row r="21" spans="1:10" ht="30.75" thickBot="1" x14ac:dyDescent="0.3">
      <c r="A21" s="15" t="s">
        <v>30</v>
      </c>
      <c r="B21" s="20">
        <v>88489</v>
      </c>
      <c r="C21" s="16" t="s">
        <v>333</v>
      </c>
      <c r="D21" s="15" t="s">
        <v>11</v>
      </c>
      <c r="E21" s="17">
        <v>11.04</v>
      </c>
      <c r="F21" s="25">
        <f>TRUNC(12.94,2)</f>
        <v>12.94</v>
      </c>
      <c r="G21" s="19">
        <f t="shared" si="1"/>
        <v>16.5</v>
      </c>
      <c r="H21" s="56">
        <f t="shared" si="2"/>
        <v>142.86000000000001</v>
      </c>
      <c r="I21" s="56">
        <f t="shared" si="0"/>
        <v>182.16</v>
      </c>
    </row>
    <row r="22" spans="1:10" ht="45.75" thickBot="1" x14ac:dyDescent="0.3">
      <c r="A22" s="15" t="s">
        <v>31</v>
      </c>
      <c r="B22" s="20" t="s">
        <v>42</v>
      </c>
      <c r="C22" s="16" t="s">
        <v>41</v>
      </c>
      <c r="D22" s="15" t="s">
        <v>18</v>
      </c>
      <c r="E22" s="17">
        <v>1</v>
      </c>
      <c r="F22" s="25">
        <f>TRUNC(('[1]COMP. 02'!G15),2)</f>
        <v>1966.32</v>
      </c>
      <c r="G22" s="19">
        <f t="shared" si="1"/>
        <v>2508.04</v>
      </c>
      <c r="H22" s="56">
        <f t="shared" si="2"/>
        <v>1966.32</v>
      </c>
      <c r="I22" s="56">
        <f t="shared" si="0"/>
        <v>2508.04</v>
      </c>
    </row>
    <row r="23" spans="1:10" ht="15.75" thickBot="1" x14ac:dyDescent="0.3">
      <c r="A23" s="15" t="s">
        <v>32</v>
      </c>
      <c r="B23" s="20" t="s">
        <v>337</v>
      </c>
      <c r="C23" s="16" t="s">
        <v>43</v>
      </c>
      <c r="D23" s="15" t="s">
        <v>11</v>
      </c>
      <c r="E23" s="17">
        <v>1.28</v>
      </c>
      <c r="F23" s="18">
        <f>TRUNC(574.65,2)</f>
        <v>574.65</v>
      </c>
      <c r="G23" s="19">
        <f t="shared" si="1"/>
        <v>732.97</v>
      </c>
      <c r="H23" s="56">
        <f t="shared" si="2"/>
        <v>735.55</v>
      </c>
      <c r="I23" s="56">
        <f t="shared" si="0"/>
        <v>938.2</v>
      </c>
      <c r="J23" s="87"/>
    </row>
    <row r="24" spans="1:10" ht="30.75" thickBot="1" x14ac:dyDescent="0.3">
      <c r="A24" s="68" t="s">
        <v>33</v>
      </c>
      <c r="B24" s="69">
        <v>100761</v>
      </c>
      <c r="C24" s="57" t="s">
        <v>130</v>
      </c>
      <c r="D24" s="68" t="s">
        <v>11</v>
      </c>
      <c r="E24" s="70">
        <v>2.56</v>
      </c>
      <c r="F24" s="71">
        <f>TRUNC(36.39,2)</f>
        <v>36.39</v>
      </c>
      <c r="G24" s="19">
        <f t="shared" si="1"/>
        <v>46.42</v>
      </c>
      <c r="H24" s="56">
        <f t="shared" si="2"/>
        <v>93.16</v>
      </c>
      <c r="I24" s="56">
        <f t="shared" si="0"/>
        <v>118.84</v>
      </c>
    </row>
    <row r="25" spans="1:10" ht="15.75" thickBot="1" x14ac:dyDescent="0.3">
      <c r="A25" s="129"/>
      <c r="B25" s="130"/>
      <c r="C25" s="130"/>
      <c r="D25" s="130"/>
      <c r="E25" s="130"/>
      <c r="F25" s="130"/>
      <c r="G25" s="130"/>
      <c r="H25" s="130"/>
      <c r="I25" s="131"/>
    </row>
    <row r="26" spans="1:10" ht="15.75" thickBot="1" x14ac:dyDescent="0.3">
      <c r="A26" s="76" t="s">
        <v>23</v>
      </c>
      <c r="B26" s="27"/>
      <c r="C26" s="77" t="s">
        <v>44</v>
      </c>
      <c r="D26" s="76"/>
      <c r="E26" s="78"/>
      <c r="F26" s="79"/>
      <c r="G26" s="80">
        <f>ROUND((SUM(G27:G31)),2)</f>
        <v>3389.2</v>
      </c>
      <c r="H26" s="80">
        <f>(SUM(H27:H31))</f>
        <v>423.58000000000004</v>
      </c>
      <c r="I26" s="80">
        <f>(SUM(I27:I31))</f>
        <v>540.27</v>
      </c>
    </row>
    <row r="27" spans="1:10" ht="15.75" thickBot="1" x14ac:dyDescent="0.3">
      <c r="A27" s="15" t="s">
        <v>45</v>
      </c>
      <c r="B27" s="20">
        <v>93358</v>
      </c>
      <c r="C27" s="16" t="s">
        <v>36</v>
      </c>
      <c r="D27" s="15" t="s">
        <v>37</v>
      </c>
      <c r="E27" s="17">
        <v>0.32</v>
      </c>
      <c r="F27" s="25">
        <f>TRUNC(61.43,2)</f>
        <v>61.43</v>
      </c>
      <c r="G27" s="19">
        <f>ROUND((F27+F27*$G$3),2)</f>
        <v>78.349999999999994</v>
      </c>
      <c r="H27" s="56">
        <f t="shared" ref="H27:H31" si="3">ROUND((F27*E27),2)</f>
        <v>19.66</v>
      </c>
      <c r="I27" s="56">
        <f>ROUND((G27*E27),2)</f>
        <v>25.07</v>
      </c>
    </row>
    <row r="28" spans="1:10" ht="30.75" thickBot="1" x14ac:dyDescent="0.3">
      <c r="A28" s="15" t="s">
        <v>46</v>
      </c>
      <c r="B28" s="20">
        <v>101159</v>
      </c>
      <c r="C28" s="16" t="s">
        <v>180</v>
      </c>
      <c r="D28" s="15" t="s">
        <v>11</v>
      </c>
      <c r="E28" s="17">
        <v>1.1200000000000001</v>
      </c>
      <c r="F28" s="25">
        <f>TRUNC(108.26,2)</f>
        <v>108.26</v>
      </c>
      <c r="G28" s="19">
        <f t="shared" ref="G28:G31" si="4">ROUND((F28+F28*$G$3),2)</f>
        <v>138.09</v>
      </c>
      <c r="H28" s="56">
        <f t="shared" si="3"/>
        <v>121.25</v>
      </c>
      <c r="I28" s="56">
        <f>ROUND((G28*E28),2)</f>
        <v>154.66</v>
      </c>
    </row>
    <row r="29" spans="1:10" ht="45.75" thickBot="1" x14ac:dyDescent="0.3">
      <c r="A29" s="15" t="s">
        <v>47</v>
      </c>
      <c r="B29" s="20">
        <v>87879</v>
      </c>
      <c r="C29" s="16" t="s">
        <v>39</v>
      </c>
      <c r="D29" s="15" t="s">
        <v>11</v>
      </c>
      <c r="E29" s="17">
        <v>1.1200000000000001</v>
      </c>
      <c r="F29" s="18">
        <f>TRUNC(3.45,2)</f>
        <v>3.45</v>
      </c>
      <c r="G29" s="19">
        <f t="shared" si="4"/>
        <v>4.4000000000000004</v>
      </c>
      <c r="H29" s="56">
        <f t="shared" si="3"/>
        <v>3.86</v>
      </c>
      <c r="I29" s="56">
        <f>ROUND((G29*E29),2)</f>
        <v>4.93</v>
      </c>
    </row>
    <row r="30" spans="1:10" ht="60.75" thickBot="1" x14ac:dyDescent="0.3">
      <c r="A30" s="15" t="s">
        <v>48</v>
      </c>
      <c r="B30" s="20">
        <v>87529</v>
      </c>
      <c r="C30" s="16" t="s">
        <v>40</v>
      </c>
      <c r="D30" s="15" t="s">
        <v>11</v>
      </c>
      <c r="E30" s="17">
        <v>1.1200000000000001</v>
      </c>
      <c r="F30" s="25">
        <f>TRUNC(29.81,2)</f>
        <v>29.81</v>
      </c>
      <c r="G30" s="19">
        <f t="shared" si="4"/>
        <v>38.020000000000003</v>
      </c>
      <c r="H30" s="56">
        <f t="shared" si="3"/>
        <v>33.39</v>
      </c>
      <c r="I30" s="56">
        <f>ROUND((G30*E30),2)</f>
        <v>42.58</v>
      </c>
    </row>
    <row r="31" spans="1:10" ht="45.75" thickBot="1" x14ac:dyDescent="0.3">
      <c r="A31" s="68" t="s">
        <v>49</v>
      </c>
      <c r="B31" s="69" t="s">
        <v>50</v>
      </c>
      <c r="C31" s="57" t="s">
        <v>51</v>
      </c>
      <c r="D31" s="68" t="s">
        <v>37</v>
      </c>
      <c r="E31" s="70">
        <v>0.1</v>
      </c>
      <c r="F31" s="72">
        <f>TRUNC(2454.21,2)</f>
        <v>2454.21</v>
      </c>
      <c r="G31" s="19">
        <f t="shared" si="4"/>
        <v>3130.34</v>
      </c>
      <c r="H31" s="56">
        <f t="shared" si="3"/>
        <v>245.42</v>
      </c>
      <c r="I31" s="56">
        <f>ROUND((G31*E31),2)</f>
        <v>313.02999999999997</v>
      </c>
    </row>
    <row r="32" spans="1:10" ht="15.75" thickBot="1" x14ac:dyDescent="0.3">
      <c r="A32" s="81"/>
      <c r="B32" s="82"/>
      <c r="C32" s="82"/>
      <c r="D32" s="82"/>
      <c r="E32" s="82"/>
      <c r="F32" s="82"/>
      <c r="G32" s="82"/>
      <c r="H32" s="67"/>
      <c r="I32" s="67"/>
    </row>
    <row r="33" spans="1:9" ht="15.75" thickBot="1" x14ac:dyDescent="0.3">
      <c r="A33" s="76" t="s">
        <v>52</v>
      </c>
      <c r="B33" s="27"/>
      <c r="C33" s="77" t="s">
        <v>63</v>
      </c>
      <c r="D33" s="76"/>
      <c r="E33" s="78"/>
      <c r="F33" s="79"/>
      <c r="G33" s="80">
        <f>ROUND((SUM(G34:G43)),2)</f>
        <v>1412.12</v>
      </c>
      <c r="H33" s="80">
        <f>(SUM(H34:H43))</f>
        <v>2864.0899999999997</v>
      </c>
      <c r="I33" s="80">
        <f>(SUM(I34:I43))</f>
        <v>3653.02</v>
      </c>
    </row>
    <row r="34" spans="1:9" ht="15.75" thickBot="1" x14ac:dyDescent="0.3">
      <c r="A34" s="15" t="s">
        <v>53</v>
      </c>
      <c r="B34" s="20">
        <v>93358</v>
      </c>
      <c r="C34" s="16" t="s">
        <v>36</v>
      </c>
      <c r="D34" s="15" t="s">
        <v>37</v>
      </c>
      <c r="E34" s="17">
        <v>0.18</v>
      </c>
      <c r="F34" s="25">
        <f>TRUNC(61.43,2)</f>
        <v>61.43</v>
      </c>
      <c r="G34" s="19">
        <f>ROUND((F34+F34*$G$3),2)</f>
        <v>78.349999999999994</v>
      </c>
      <c r="H34" s="56">
        <f t="shared" ref="H34:H43" si="5">ROUND((F34*E34),2)</f>
        <v>11.06</v>
      </c>
      <c r="I34" s="56">
        <f t="shared" ref="I34:I43" si="6">ROUND((G34*E34),2)</f>
        <v>14.1</v>
      </c>
    </row>
    <row r="35" spans="1:9" ht="30.75" thickBot="1" x14ac:dyDescent="0.3">
      <c r="A35" s="15" t="s">
        <v>54</v>
      </c>
      <c r="B35" s="20">
        <v>101159</v>
      </c>
      <c r="C35" s="16" t="s">
        <v>180</v>
      </c>
      <c r="D35" s="15" t="s">
        <v>11</v>
      </c>
      <c r="E35" s="17">
        <v>1.32</v>
      </c>
      <c r="F35" s="25">
        <f>TRUNC(108.26,2)</f>
        <v>108.26</v>
      </c>
      <c r="G35" s="19">
        <f t="shared" ref="G35:G43" si="7">ROUND((F35+F35*$G$3),2)</f>
        <v>138.09</v>
      </c>
      <c r="H35" s="56">
        <f t="shared" si="5"/>
        <v>142.9</v>
      </c>
      <c r="I35" s="56">
        <f t="shared" si="6"/>
        <v>182.28</v>
      </c>
    </row>
    <row r="36" spans="1:9" ht="60.75" thickBot="1" x14ac:dyDescent="0.3">
      <c r="A36" s="15" t="s">
        <v>55</v>
      </c>
      <c r="B36" s="20">
        <v>103357</v>
      </c>
      <c r="C36" s="16" t="s">
        <v>38</v>
      </c>
      <c r="D36" s="15" t="s">
        <v>11</v>
      </c>
      <c r="E36" s="17">
        <v>6.76</v>
      </c>
      <c r="F36" s="25">
        <f>TRUNC(44.1,2)</f>
        <v>44.1</v>
      </c>
      <c r="G36" s="19">
        <f t="shared" si="7"/>
        <v>56.25</v>
      </c>
      <c r="H36" s="56">
        <f t="shared" si="5"/>
        <v>298.12</v>
      </c>
      <c r="I36" s="56">
        <f t="shared" si="6"/>
        <v>380.25</v>
      </c>
    </row>
    <row r="37" spans="1:9" ht="45.75" thickBot="1" x14ac:dyDescent="0.3">
      <c r="A37" s="15" t="s">
        <v>56</v>
      </c>
      <c r="B37" s="20">
        <v>87879</v>
      </c>
      <c r="C37" s="16" t="s">
        <v>39</v>
      </c>
      <c r="D37" s="15" t="s">
        <v>11</v>
      </c>
      <c r="E37" s="17">
        <v>19.3</v>
      </c>
      <c r="F37" s="25">
        <f>TRUNC(3.45,2)</f>
        <v>3.45</v>
      </c>
      <c r="G37" s="19">
        <f t="shared" si="7"/>
        <v>4.4000000000000004</v>
      </c>
      <c r="H37" s="56">
        <f t="shared" si="5"/>
        <v>66.59</v>
      </c>
      <c r="I37" s="56">
        <f t="shared" si="6"/>
        <v>84.92</v>
      </c>
    </row>
    <row r="38" spans="1:9" ht="60.75" thickBot="1" x14ac:dyDescent="0.3">
      <c r="A38" s="15" t="s">
        <v>57</v>
      </c>
      <c r="B38" s="20">
        <v>87529</v>
      </c>
      <c r="C38" s="16" t="s">
        <v>40</v>
      </c>
      <c r="D38" s="15" t="s">
        <v>11</v>
      </c>
      <c r="E38" s="17">
        <v>19.3</v>
      </c>
      <c r="F38" s="25">
        <f>TRUNC(29.81,2)</f>
        <v>29.81</v>
      </c>
      <c r="G38" s="19">
        <f t="shared" si="7"/>
        <v>38.020000000000003</v>
      </c>
      <c r="H38" s="56">
        <f t="shared" si="5"/>
        <v>575.33000000000004</v>
      </c>
      <c r="I38" s="56">
        <f t="shared" si="6"/>
        <v>733.79</v>
      </c>
    </row>
    <row r="39" spans="1:9" ht="30.75" thickBot="1" x14ac:dyDescent="0.3">
      <c r="A39" s="15" t="s">
        <v>58</v>
      </c>
      <c r="B39" s="20">
        <v>88489</v>
      </c>
      <c r="C39" s="16" t="s">
        <v>333</v>
      </c>
      <c r="D39" s="15" t="s">
        <v>11</v>
      </c>
      <c r="E39" s="17">
        <v>19.3</v>
      </c>
      <c r="F39" s="25">
        <f>TRUNC(12.94,2)</f>
        <v>12.94</v>
      </c>
      <c r="G39" s="19">
        <f t="shared" si="7"/>
        <v>16.5</v>
      </c>
      <c r="H39" s="56">
        <f t="shared" si="5"/>
        <v>249.74</v>
      </c>
      <c r="I39" s="56">
        <f t="shared" si="6"/>
        <v>318.45</v>
      </c>
    </row>
    <row r="40" spans="1:9" ht="30.75" thickBot="1" x14ac:dyDescent="0.3">
      <c r="A40" s="15" t="s">
        <v>59</v>
      </c>
      <c r="B40" s="20">
        <v>101964</v>
      </c>
      <c r="C40" s="16" t="s">
        <v>331</v>
      </c>
      <c r="D40" s="15" t="s">
        <v>11</v>
      </c>
      <c r="E40" s="17">
        <v>2.89</v>
      </c>
      <c r="F40" s="25">
        <f>TRUNC(150.92,2)</f>
        <v>150.91999999999999</v>
      </c>
      <c r="G40" s="19">
        <f t="shared" si="7"/>
        <v>192.5</v>
      </c>
      <c r="H40" s="56">
        <f t="shared" si="5"/>
        <v>436.16</v>
      </c>
      <c r="I40" s="56">
        <f t="shared" si="6"/>
        <v>556.33000000000004</v>
      </c>
    </row>
    <row r="41" spans="1:9" ht="15.75" thickBot="1" x14ac:dyDescent="0.3">
      <c r="A41" s="15" t="s">
        <v>60</v>
      </c>
      <c r="B41" s="20" t="s">
        <v>337</v>
      </c>
      <c r="C41" s="16" t="s">
        <v>43</v>
      </c>
      <c r="D41" s="15" t="s">
        <v>11</v>
      </c>
      <c r="E41" s="17">
        <v>1.28</v>
      </c>
      <c r="F41" s="18">
        <f>TRUNC(574.65,2)</f>
        <v>574.65</v>
      </c>
      <c r="G41" s="19">
        <f t="shared" si="7"/>
        <v>732.97</v>
      </c>
      <c r="H41" s="56">
        <f t="shared" si="5"/>
        <v>735.55</v>
      </c>
      <c r="I41" s="56">
        <f t="shared" si="6"/>
        <v>938.2</v>
      </c>
    </row>
    <row r="42" spans="1:9" ht="30.75" thickBot="1" x14ac:dyDescent="0.3">
      <c r="A42" s="15" t="s">
        <v>61</v>
      </c>
      <c r="B42" s="20">
        <v>100761</v>
      </c>
      <c r="C42" s="16" t="s">
        <v>130</v>
      </c>
      <c r="D42" s="15" t="s">
        <v>11</v>
      </c>
      <c r="E42" s="17">
        <v>2.56</v>
      </c>
      <c r="F42" s="18">
        <f>TRUNC(36.39,2)</f>
        <v>36.39</v>
      </c>
      <c r="G42" s="19">
        <f t="shared" si="7"/>
        <v>46.42</v>
      </c>
      <c r="H42" s="56">
        <f t="shared" si="5"/>
        <v>93.16</v>
      </c>
      <c r="I42" s="56">
        <f t="shared" si="6"/>
        <v>118.84</v>
      </c>
    </row>
    <row r="43" spans="1:9" ht="45.75" thickBot="1" x14ac:dyDescent="0.3">
      <c r="A43" s="15" t="s">
        <v>62</v>
      </c>
      <c r="B43" s="20">
        <v>94994</v>
      </c>
      <c r="C43" s="16" t="s">
        <v>64</v>
      </c>
      <c r="D43" s="15" t="s">
        <v>11</v>
      </c>
      <c r="E43" s="17">
        <v>3</v>
      </c>
      <c r="F43" s="25">
        <f>TRUNC(85.16,2)</f>
        <v>85.16</v>
      </c>
      <c r="G43" s="19">
        <f t="shared" si="7"/>
        <v>108.62</v>
      </c>
      <c r="H43" s="56">
        <f t="shared" si="5"/>
        <v>255.48</v>
      </c>
      <c r="I43" s="56">
        <f t="shared" si="6"/>
        <v>325.86</v>
      </c>
    </row>
    <row r="44" spans="1:9" ht="15.75" thickBot="1" x14ac:dyDescent="0.3">
      <c r="A44" s="129"/>
      <c r="B44" s="130"/>
      <c r="C44" s="130"/>
      <c r="D44" s="130"/>
      <c r="E44" s="130"/>
      <c r="F44" s="130"/>
      <c r="G44" s="130"/>
      <c r="H44" s="130"/>
      <c r="I44" s="131"/>
    </row>
    <row r="45" spans="1:9" ht="15.75" thickBot="1" x14ac:dyDescent="0.3">
      <c r="A45" s="13" t="s">
        <v>65</v>
      </c>
      <c r="B45" s="55"/>
      <c r="C45" s="128" t="s">
        <v>72</v>
      </c>
      <c r="D45" s="128"/>
      <c r="E45" s="128"/>
      <c r="F45" s="128"/>
      <c r="G45" s="14">
        <f>ROUND((SUM(G47,G54,G75)),2)</f>
        <v>8069.13</v>
      </c>
      <c r="H45" s="14">
        <f>(SUM(H47,H54,H75))</f>
        <v>7803.9299999999994</v>
      </c>
      <c r="I45" s="14">
        <f>(SUM(I47,I54,I75))</f>
        <v>9953.9200000000019</v>
      </c>
    </row>
    <row r="46" spans="1:9" ht="15.75" thickBot="1" x14ac:dyDescent="0.3">
      <c r="A46" s="129"/>
      <c r="B46" s="130"/>
      <c r="C46" s="130"/>
      <c r="D46" s="130"/>
      <c r="E46" s="130"/>
      <c r="F46" s="130"/>
      <c r="G46" s="130"/>
      <c r="H46" s="130"/>
      <c r="I46" s="131"/>
    </row>
    <row r="47" spans="1:9" ht="15.75" thickBot="1" x14ac:dyDescent="0.3">
      <c r="A47" s="13" t="s">
        <v>66</v>
      </c>
      <c r="B47" s="55"/>
      <c r="C47" s="22" t="s">
        <v>336</v>
      </c>
      <c r="D47" s="13"/>
      <c r="E47" s="23"/>
      <c r="F47" s="24"/>
      <c r="G47" s="14">
        <f>ROUND((SUM(G48:G52)),2)</f>
        <v>3187.73</v>
      </c>
      <c r="H47" s="14">
        <f>(SUM(H48:H52))</f>
        <v>3068.79</v>
      </c>
      <c r="I47" s="14">
        <f>(SUM(I48:I52))</f>
        <v>3914.24</v>
      </c>
    </row>
    <row r="48" spans="1:9" ht="30.75" thickBot="1" x14ac:dyDescent="0.3">
      <c r="A48" s="15" t="s">
        <v>67</v>
      </c>
      <c r="B48" s="20" t="s">
        <v>34</v>
      </c>
      <c r="C48" s="16" t="s">
        <v>35</v>
      </c>
      <c r="D48" s="15" t="s">
        <v>11</v>
      </c>
      <c r="E48" s="17">
        <v>25</v>
      </c>
      <c r="F48" s="18">
        <f>TRUNC(9.25,2)</f>
        <v>9.25</v>
      </c>
      <c r="G48" s="19">
        <f>ROUND((F48+F48*$G$3),2)</f>
        <v>11.8</v>
      </c>
      <c r="H48" s="56">
        <f t="shared" ref="H48:H52" si="8">ROUND((F48*E48),2)</f>
        <v>231.25</v>
      </c>
      <c r="I48" s="56">
        <f>ROUND((G48*E48),2)</f>
        <v>295</v>
      </c>
    </row>
    <row r="49" spans="1:9" ht="45.75" thickBot="1" x14ac:dyDescent="0.3">
      <c r="A49" s="15" t="s">
        <v>68</v>
      </c>
      <c r="B49" s="20" t="s">
        <v>334</v>
      </c>
      <c r="C49" s="16" t="s">
        <v>41</v>
      </c>
      <c r="D49" s="15" t="s">
        <v>18</v>
      </c>
      <c r="E49" s="17">
        <v>1</v>
      </c>
      <c r="F49" s="25">
        <f>TRUNC((COMPOSIÇÕES!G52),2)</f>
        <v>1865.97</v>
      </c>
      <c r="G49" s="19">
        <f t="shared" ref="G49:G52" si="9">ROUND((F49+F49*$G$3),2)</f>
        <v>2380.04</v>
      </c>
      <c r="H49" s="56">
        <f t="shared" si="8"/>
        <v>1865.97</v>
      </c>
      <c r="I49" s="56">
        <f>ROUND((G49*E49),2)</f>
        <v>2380.04</v>
      </c>
    </row>
    <row r="50" spans="1:9" ht="30.75" thickBot="1" x14ac:dyDescent="0.3">
      <c r="A50" s="15" t="s">
        <v>69</v>
      </c>
      <c r="B50" s="20">
        <v>88489</v>
      </c>
      <c r="C50" s="16" t="s">
        <v>333</v>
      </c>
      <c r="D50" s="15" t="s">
        <v>11</v>
      </c>
      <c r="E50" s="17">
        <v>11.04</v>
      </c>
      <c r="F50" s="25">
        <v>12.94</v>
      </c>
      <c r="G50" s="19">
        <f t="shared" si="9"/>
        <v>16.5</v>
      </c>
      <c r="H50" s="56">
        <f t="shared" si="8"/>
        <v>142.86000000000001</v>
      </c>
      <c r="I50" s="56">
        <f>ROUND((G50*E50),2)</f>
        <v>182.16</v>
      </c>
    </row>
    <row r="51" spans="1:9" ht="15.75" thickBot="1" x14ac:dyDescent="0.3">
      <c r="A51" s="15" t="s">
        <v>70</v>
      </c>
      <c r="B51" s="20" t="s">
        <v>337</v>
      </c>
      <c r="C51" s="16" t="s">
        <v>43</v>
      </c>
      <c r="D51" s="15" t="s">
        <v>11</v>
      </c>
      <c r="E51" s="17">
        <v>1.28</v>
      </c>
      <c r="F51" s="18">
        <f>TRUNC(574.65,2)</f>
        <v>574.65</v>
      </c>
      <c r="G51" s="19">
        <f t="shared" si="9"/>
        <v>732.97</v>
      </c>
      <c r="H51" s="56">
        <f t="shared" si="8"/>
        <v>735.55</v>
      </c>
      <c r="I51" s="56">
        <f>ROUND((G51*E51),2)</f>
        <v>938.2</v>
      </c>
    </row>
    <row r="52" spans="1:9" ht="30.75" thickBot="1" x14ac:dyDescent="0.3">
      <c r="A52" s="15" t="s">
        <v>71</v>
      </c>
      <c r="B52" s="20">
        <v>100761</v>
      </c>
      <c r="C52" s="16" t="s">
        <v>130</v>
      </c>
      <c r="D52" s="15" t="s">
        <v>11</v>
      </c>
      <c r="E52" s="17">
        <v>2.56</v>
      </c>
      <c r="F52" s="25">
        <f>TRUNC(36.39,2)</f>
        <v>36.39</v>
      </c>
      <c r="G52" s="19">
        <f t="shared" si="9"/>
        <v>46.42</v>
      </c>
      <c r="H52" s="56">
        <f t="shared" si="8"/>
        <v>93.16</v>
      </c>
      <c r="I52" s="56">
        <f>ROUND((G52*E52),2)</f>
        <v>118.84</v>
      </c>
    </row>
    <row r="53" spans="1:9" ht="15.75" thickBot="1" x14ac:dyDescent="0.3">
      <c r="A53" s="129"/>
      <c r="B53" s="130"/>
      <c r="C53" s="130"/>
      <c r="D53" s="130"/>
      <c r="E53" s="130"/>
      <c r="F53" s="130"/>
      <c r="G53" s="130"/>
      <c r="H53" s="130"/>
      <c r="I53" s="131"/>
    </row>
    <row r="54" spans="1:9" ht="15.75" thickBot="1" x14ac:dyDescent="0.3">
      <c r="A54" s="13" t="s">
        <v>73</v>
      </c>
      <c r="B54" s="55"/>
      <c r="C54" s="22" t="s">
        <v>74</v>
      </c>
      <c r="D54" s="13"/>
      <c r="E54" s="23"/>
      <c r="F54" s="24"/>
      <c r="G54" s="14">
        <f>ROUND((SUM(G55:G73)),2)</f>
        <v>4667.33</v>
      </c>
      <c r="H54" s="14">
        <f>(SUM(H55:H73))</f>
        <v>4567.3099999999995</v>
      </c>
      <c r="I54" s="14">
        <f>(SUM(I55:I73))</f>
        <v>5825.6100000000015</v>
      </c>
    </row>
    <row r="55" spans="1:9" ht="15.75" thickBot="1" x14ac:dyDescent="0.3">
      <c r="A55" s="15" t="s">
        <v>75</v>
      </c>
      <c r="B55" s="20">
        <v>93358</v>
      </c>
      <c r="C55" s="16" t="s">
        <v>36</v>
      </c>
      <c r="D55" s="15" t="s">
        <v>37</v>
      </c>
      <c r="E55" s="17">
        <v>0.94</v>
      </c>
      <c r="F55" s="25">
        <f>TRUNC(61.43,2)</f>
        <v>61.43</v>
      </c>
      <c r="G55" s="19">
        <f>ROUND((F55+F55*$G$3),2)</f>
        <v>78.349999999999994</v>
      </c>
      <c r="H55" s="56">
        <f t="shared" ref="H55:H73" si="10">ROUND((F55*E55),2)</f>
        <v>57.74</v>
      </c>
      <c r="I55" s="56">
        <f t="shared" ref="I55:I61" si="11">ROUND((G55*E55),2)</f>
        <v>73.650000000000006</v>
      </c>
    </row>
    <row r="56" spans="1:9" ht="30.75" thickBot="1" x14ac:dyDescent="0.3">
      <c r="A56" s="15" t="s">
        <v>76</v>
      </c>
      <c r="B56" s="20">
        <v>101159</v>
      </c>
      <c r="C56" s="16" t="s">
        <v>180</v>
      </c>
      <c r="D56" s="15" t="s">
        <v>11</v>
      </c>
      <c r="E56" s="17">
        <v>5.65</v>
      </c>
      <c r="F56" s="25">
        <f>TRUNC(108.26,2)</f>
        <v>108.26</v>
      </c>
      <c r="G56" s="19">
        <f t="shared" ref="G56:G73" si="12">ROUND((F56+F56*$G$3),2)</f>
        <v>138.09</v>
      </c>
      <c r="H56" s="56">
        <f t="shared" si="10"/>
        <v>611.66999999999996</v>
      </c>
      <c r="I56" s="56">
        <f t="shared" si="11"/>
        <v>780.21</v>
      </c>
    </row>
    <row r="57" spans="1:9" ht="45.75" thickBot="1" x14ac:dyDescent="0.3">
      <c r="A57" s="15" t="s">
        <v>77</v>
      </c>
      <c r="B57" s="20">
        <v>87879</v>
      </c>
      <c r="C57" s="16" t="s">
        <v>39</v>
      </c>
      <c r="D57" s="15" t="s">
        <v>11</v>
      </c>
      <c r="E57" s="17">
        <v>4.6500000000000004</v>
      </c>
      <c r="F57" s="25">
        <f>TRUNC(3.45,2)</f>
        <v>3.45</v>
      </c>
      <c r="G57" s="19">
        <f t="shared" si="12"/>
        <v>4.4000000000000004</v>
      </c>
      <c r="H57" s="56">
        <f t="shared" si="10"/>
        <v>16.04</v>
      </c>
      <c r="I57" s="56">
        <f t="shared" si="11"/>
        <v>20.46</v>
      </c>
    </row>
    <row r="58" spans="1:9" ht="60.75" thickBot="1" x14ac:dyDescent="0.3">
      <c r="A58" s="15" t="s">
        <v>78</v>
      </c>
      <c r="B58" s="20">
        <v>87529</v>
      </c>
      <c r="C58" s="16" t="s">
        <v>40</v>
      </c>
      <c r="D58" s="15" t="s">
        <v>11</v>
      </c>
      <c r="E58" s="17">
        <v>5.65</v>
      </c>
      <c r="F58" s="25">
        <f>TRUNC(29.81,2)</f>
        <v>29.81</v>
      </c>
      <c r="G58" s="19">
        <f t="shared" si="12"/>
        <v>38.020000000000003</v>
      </c>
      <c r="H58" s="56">
        <f t="shared" si="10"/>
        <v>168.43</v>
      </c>
      <c r="I58" s="56">
        <f t="shared" si="11"/>
        <v>214.81</v>
      </c>
    </row>
    <row r="59" spans="1:9" ht="30.75" thickBot="1" x14ac:dyDescent="0.3">
      <c r="A59" s="15" t="s">
        <v>79</v>
      </c>
      <c r="B59" s="20">
        <v>88489</v>
      </c>
      <c r="C59" s="16" t="s">
        <v>333</v>
      </c>
      <c r="D59" s="15" t="s">
        <v>11</v>
      </c>
      <c r="E59" s="17">
        <v>5.65</v>
      </c>
      <c r="F59" s="25">
        <f>TRUNC(12.94,2)</f>
        <v>12.94</v>
      </c>
      <c r="G59" s="19">
        <f t="shared" si="12"/>
        <v>16.5</v>
      </c>
      <c r="H59" s="56">
        <f t="shared" si="10"/>
        <v>73.11</v>
      </c>
      <c r="I59" s="56">
        <f t="shared" si="11"/>
        <v>93.23</v>
      </c>
    </row>
    <row r="60" spans="1:9" ht="30.75" thickBot="1" x14ac:dyDescent="0.3">
      <c r="A60" s="15" t="s">
        <v>80</v>
      </c>
      <c r="B60" s="20">
        <v>96622</v>
      </c>
      <c r="C60" s="16" t="s">
        <v>332</v>
      </c>
      <c r="D60" s="15" t="s">
        <v>37</v>
      </c>
      <c r="E60" s="17">
        <v>1.33</v>
      </c>
      <c r="F60" s="25">
        <f>TRUNC(148.85,2)</f>
        <v>148.85</v>
      </c>
      <c r="G60" s="19">
        <f t="shared" si="12"/>
        <v>189.86</v>
      </c>
      <c r="H60" s="56">
        <f t="shared" si="10"/>
        <v>197.97</v>
      </c>
      <c r="I60" s="56">
        <f t="shared" si="11"/>
        <v>252.51</v>
      </c>
    </row>
    <row r="61" spans="1:9" ht="30.75" thickBot="1" x14ac:dyDescent="0.3">
      <c r="A61" s="15" t="s">
        <v>81</v>
      </c>
      <c r="B61" s="20" t="s">
        <v>82</v>
      </c>
      <c r="C61" s="16" t="s">
        <v>83</v>
      </c>
      <c r="D61" s="15" t="s">
        <v>18</v>
      </c>
      <c r="E61" s="17">
        <v>1</v>
      </c>
      <c r="F61" s="25">
        <f>TRUNC(2952.61,2)</f>
        <v>2952.61</v>
      </c>
      <c r="G61" s="19">
        <f t="shared" si="12"/>
        <v>3766.05</v>
      </c>
      <c r="H61" s="56">
        <f t="shared" si="10"/>
        <v>2952.61</v>
      </c>
      <c r="I61" s="56">
        <f t="shared" si="11"/>
        <v>3766.05</v>
      </c>
    </row>
    <row r="62" spans="1:9" ht="15.75" thickBot="1" x14ac:dyDescent="0.3">
      <c r="A62" s="15" t="s">
        <v>84</v>
      </c>
      <c r="B62" s="20"/>
      <c r="C62" s="16" t="s">
        <v>85</v>
      </c>
      <c r="D62" s="15"/>
      <c r="E62" s="17"/>
      <c r="F62" s="18"/>
      <c r="G62" s="19">
        <f t="shared" si="12"/>
        <v>0</v>
      </c>
      <c r="H62" s="56">
        <f t="shared" si="10"/>
        <v>0</v>
      </c>
      <c r="I62" s="56"/>
    </row>
    <row r="63" spans="1:9" ht="15.75" thickBot="1" x14ac:dyDescent="0.3">
      <c r="A63" s="15" t="s">
        <v>86</v>
      </c>
      <c r="B63" s="20">
        <v>93358</v>
      </c>
      <c r="C63" s="16" t="s">
        <v>36</v>
      </c>
      <c r="D63" s="15" t="s">
        <v>37</v>
      </c>
      <c r="E63" s="17">
        <v>0.08</v>
      </c>
      <c r="F63" s="25">
        <f>TRUNC(61.43,2)</f>
        <v>61.43</v>
      </c>
      <c r="G63" s="19">
        <f t="shared" si="12"/>
        <v>78.349999999999994</v>
      </c>
      <c r="H63" s="56">
        <f t="shared" si="10"/>
        <v>4.91</v>
      </c>
      <c r="I63" s="56">
        <f t="shared" ref="I63:I73" si="13">ROUND((G63*E63),2)</f>
        <v>6.27</v>
      </c>
    </row>
    <row r="64" spans="1:9" ht="30.75" thickBot="1" x14ac:dyDescent="0.3">
      <c r="A64" s="15" t="s">
        <v>87</v>
      </c>
      <c r="B64" s="20">
        <v>101159</v>
      </c>
      <c r="C64" s="16" t="s">
        <v>180</v>
      </c>
      <c r="D64" s="15" t="s">
        <v>11</v>
      </c>
      <c r="E64" s="17">
        <v>0.24</v>
      </c>
      <c r="F64" s="25">
        <f>TRUNC(108.26,2)</f>
        <v>108.26</v>
      </c>
      <c r="G64" s="19">
        <f t="shared" si="12"/>
        <v>138.09</v>
      </c>
      <c r="H64" s="56">
        <f t="shared" si="10"/>
        <v>25.98</v>
      </c>
      <c r="I64" s="56">
        <f t="shared" si="13"/>
        <v>33.14</v>
      </c>
    </row>
    <row r="65" spans="1:9" ht="60.75" thickBot="1" x14ac:dyDescent="0.3">
      <c r="A65" s="15" t="s">
        <v>88</v>
      </c>
      <c r="B65" s="20">
        <v>103357</v>
      </c>
      <c r="C65" s="16" t="s">
        <v>38</v>
      </c>
      <c r="D65" s="15" t="s">
        <v>11</v>
      </c>
      <c r="E65" s="17">
        <f>0.96+1.68</f>
        <v>2.6399999999999997</v>
      </c>
      <c r="F65" s="25">
        <f>TRUNC(44.1,2)</f>
        <v>44.1</v>
      </c>
      <c r="G65" s="19">
        <f t="shared" si="12"/>
        <v>56.25</v>
      </c>
      <c r="H65" s="56">
        <f t="shared" si="10"/>
        <v>116.42</v>
      </c>
      <c r="I65" s="56">
        <f t="shared" si="13"/>
        <v>148.5</v>
      </c>
    </row>
    <row r="66" spans="1:9" ht="45.75" thickBot="1" x14ac:dyDescent="0.3">
      <c r="A66" s="15" t="s">
        <v>89</v>
      </c>
      <c r="B66" s="20">
        <v>87879</v>
      </c>
      <c r="C66" s="16" t="s">
        <v>39</v>
      </c>
      <c r="D66" s="15" t="s">
        <v>11</v>
      </c>
      <c r="E66" s="17">
        <v>2.34</v>
      </c>
      <c r="F66" s="18">
        <f>TRUNC(3.45,2)</f>
        <v>3.45</v>
      </c>
      <c r="G66" s="19">
        <f t="shared" si="12"/>
        <v>4.4000000000000004</v>
      </c>
      <c r="H66" s="56">
        <f t="shared" si="10"/>
        <v>8.07</v>
      </c>
      <c r="I66" s="56">
        <f t="shared" si="13"/>
        <v>10.3</v>
      </c>
    </row>
    <row r="67" spans="1:9" ht="60.75" thickBot="1" x14ac:dyDescent="0.3">
      <c r="A67" s="15" t="s">
        <v>90</v>
      </c>
      <c r="B67" s="20">
        <v>87529</v>
      </c>
      <c r="C67" s="16" t="s">
        <v>40</v>
      </c>
      <c r="D67" s="15" t="s">
        <v>11</v>
      </c>
      <c r="E67" s="17">
        <v>2.34</v>
      </c>
      <c r="F67" s="25">
        <f>TRUNC(29.81,2)</f>
        <v>29.81</v>
      </c>
      <c r="G67" s="19">
        <f t="shared" si="12"/>
        <v>38.020000000000003</v>
      </c>
      <c r="H67" s="56">
        <f t="shared" si="10"/>
        <v>69.760000000000005</v>
      </c>
      <c r="I67" s="56">
        <f t="shared" si="13"/>
        <v>88.97</v>
      </c>
    </row>
    <row r="68" spans="1:9" ht="30.75" thickBot="1" x14ac:dyDescent="0.3">
      <c r="A68" s="15" t="s">
        <v>91</v>
      </c>
      <c r="B68" s="20">
        <v>88489</v>
      </c>
      <c r="C68" s="16" t="s">
        <v>333</v>
      </c>
      <c r="D68" s="15" t="s">
        <v>11</v>
      </c>
      <c r="E68" s="17">
        <v>2.34</v>
      </c>
      <c r="F68" s="18">
        <f>TRUNC(12.94,2)</f>
        <v>12.94</v>
      </c>
      <c r="G68" s="19">
        <f t="shared" si="12"/>
        <v>16.5</v>
      </c>
      <c r="H68" s="56">
        <f t="shared" si="10"/>
        <v>30.28</v>
      </c>
      <c r="I68" s="56">
        <f t="shared" si="13"/>
        <v>38.61</v>
      </c>
    </row>
    <row r="69" spans="1:9" ht="30.75" thickBot="1" x14ac:dyDescent="0.3">
      <c r="A69" s="15" t="s">
        <v>92</v>
      </c>
      <c r="B69" s="20" t="s">
        <v>132</v>
      </c>
      <c r="C69" s="16" t="s">
        <v>97</v>
      </c>
      <c r="D69" s="15" t="s">
        <v>15</v>
      </c>
      <c r="E69" s="17">
        <v>4.08</v>
      </c>
      <c r="F69" s="18">
        <f>TRUNC(19.73,2)</f>
        <v>19.73</v>
      </c>
      <c r="G69" s="19">
        <f t="shared" si="12"/>
        <v>25.17</v>
      </c>
      <c r="H69" s="56">
        <f t="shared" si="10"/>
        <v>80.5</v>
      </c>
      <c r="I69" s="56">
        <f t="shared" si="13"/>
        <v>102.69</v>
      </c>
    </row>
    <row r="70" spans="1:9" ht="30.75" thickBot="1" x14ac:dyDescent="0.3">
      <c r="A70" s="15" t="s">
        <v>93</v>
      </c>
      <c r="B70" s="20">
        <v>89355</v>
      </c>
      <c r="C70" s="16" t="s">
        <v>98</v>
      </c>
      <c r="D70" s="15" t="s">
        <v>15</v>
      </c>
      <c r="E70" s="17">
        <v>4</v>
      </c>
      <c r="F70" s="18">
        <f>TRUNC(15.39,2)</f>
        <v>15.39</v>
      </c>
      <c r="G70" s="19">
        <f t="shared" si="12"/>
        <v>19.63</v>
      </c>
      <c r="H70" s="56">
        <f t="shared" si="10"/>
        <v>61.56</v>
      </c>
      <c r="I70" s="56">
        <f t="shared" si="13"/>
        <v>78.52</v>
      </c>
    </row>
    <row r="71" spans="1:9" ht="15.75" thickBot="1" x14ac:dyDescent="0.3">
      <c r="A71" s="15" t="s">
        <v>94</v>
      </c>
      <c r="B71" s="20" t="s">
        <v>99</v>
      </c>
      <c r="C71" s="16" t="s">
        <v>100</v>
      </c>
      <c r="D71" s="15" t="s">
        <v>18</v>
      </c>
      <c r="E71" s="17">
        <v>1</v>
      </c>
      <c r="F71" s="18">
        <f>TRUNC(5.77,2)</f>
        <v>5.77</v>
      </c>
      <c r="G71" s="19">
        <f t="shared" si="12"/>
        <v>7.36</v>
      </c>
      <c r="H71" s="56">
        <f t="shared" si="10"/>
        <v>5.77</v>
      </c>
      <c r="I71" s="56">
        <f t="shared" si="13"/>
        <v>7.36</v>
      </c>
    </row>
    <row r="72" spans="1:9" ht="15.75" thickBot="1" x14ac:dyDescent="0.3">
      <c r="A72" s="15" t="s">
        <v>95</v>
      </c>
      <c r="B72" s="20">
        <v>86916</v>
      </c>
      <c r="C72" s="16" t="s">
        <v>101</v>
      </c>
      <c r="D72" s="15" t="s">
        <v>18</v>
      </c>
      <c r="E72" s="17">
        <v>3</v>
      </c>
      <c r="F72" s="18">
        <f>TRUNC(22.75,2)</f>
        <v>22.75</v>
      </c>
      <c r="G72" s="19">
        <f t="shared" si="12"/>
        <v>29.02</v>
      </c>
      <c r="H72" s="56">
        <f t="shared" si="10"/>
        <v>68.25</v>
      </c>
      <c r="I72" s="56">
        <f t="shared" si="13"/>
        <v>87.06</v>
      </c>
    </row>
    <row r="73" spans="1:9" ht="30.75" thickBot="1" x14ac:dyDescent="0.3">
      <c r="A73" s="15" t="s">
        <v>96</v>
      </c>
      <c r="B73" s="20">
        <v>94489</v>
      </c>
      <c r="C73" s="16" t="s">
        <v>102</v>
      </c>
      <c r="D73" s="15" t="s">
        <v>18</v>
      </c>
      <c r="E73" s="17">
        <v>1</v>
      </c>
      <c r="F73" s="18">
        <f>TRUNC(18.24,2)</f>
        <v>18.239999999999998</v>
      </c>
      <c r="G73" s="19">
        <f t="shared" si="12"/>
        <v>23.27</v>
      </c>
      <c r="H73" s="56">
        <f t="shared" si="10"/>
        <v>18.239999999999998</v>
      </c>
      <c r="I73" s="56">
        <f t="shared" si="13"/>
        <v>23.27</v>
      </c>
    </row>
    <row r="74" spans="1:9" ht="15.75" thickBot="1" x14ac:dyDescent="0.3">
      <c r="A74" s="129"/>
      <c r="B74" s="130"/>
      <c r="C74" s="130"/>
      <c r="D74" s="130"/>
      <c r="E74" s="130"/>
      <c r="F74" s="130"/>
      <c r="G74" s="130"/>
      <c r="H74" s="130"/>
      <c r="I74" s="131"/>
    </row>
    <row r="75" spans="1:9" ht="15.75" thickBot="1" x14ac:dyDescent="0.3">
      <c r="A75" s="13" t="s">
        <v>103</v>
      </c>
      <c r="B75" s="55"/>
      <c r="C75" s="22" t="s">
        <v>104</v>
      </c>
      <c r="D75" s="13"/>
      <c r="E75" s="23"/>
      <c r="F75" s="24"/>
      <c r="G75" s="14">
        <f>ROUND((SUM(G76:G76)),2)</f>
        <v>214.07</v>
      </c>
      <c r="H75" s="14">
        <f>SUM(H76:H76)</f>
        <v>167.83</v>
      </c>
      <c r="I75" s="14">
        <f>SUM(I76:I76)</f>
        <v>214.07</v>
      </c>
    </row>
    <row r="76" spans="1:9" ht="30.75" thickBot="1" x14ac:dyDescent="0.3">
      <c r="A76" s="15" t="s">
        <v>105</v>
      </c>
      <c r="B76" s="20">
        <v>97895</v>
      </c>
      <c r="C76" s="16" t="s">
        <v>359</v>
      </c>
      <c r="D76" s="15" t="s">
        <v>18</v>
      </c>
      <c r="E76" s="17">
        <v>1</v>
      </c>
      <c r="F76" s="18">
        <f>TRUNC(167.83,2)</f>
        <v>167.83</v>
      </c>
      <c r="G76" s="19">
        <f>ROUND((F76+F76*$G$3),2)</f>
        <v>214.07</v>
      </c>
      <c r="H76" s="56">
        <f t="shared" ref="H76" si="14">ROUND((F76*E76),2)</f>
        <v>167.83</v>
      </c>
      <c r="I76" s="56">
        <f>ROUND((G76*E76),2)</f>
        <v>214.07</v>
      </c>
    </row>
    <row r="77" spans="1:9" ht="15.75" thickBot="1" x14ac:dyDescent="0.3">
      <c r="A77" s="129"/>
      <c r="B77" s="130"/>
      <c r="C77" s="130"/>
      <c r="D77" s="130"/>
      <c r="E77" s="130"/>
      <c r="F77" s="130"/>
      <c r="G77" s="130"/>
      <c r="H77" s="130"/>
      <c r="I77" s="131"/>
    </row>
    <row r="78" spans="1:9" ht="15.75" thickBot="1" x14ac:dyDescent="0.3">
      <c r="A78" s="13" t="s">
        <v>106</v>
      </c>
      <c r="B78" s="55"/>
      <c r="C78" s="128" t="s">
        <v>107</v>
      </c>
      <c r="D78" s="128"/>
      <c r="E78" s="128"/>
      <c r="F78" s="128"/>
      <c r="G78" s="14">
        <f>ROUND((SUM(G80:G88)),2)</f>
        <v>422.53</v>
      </c>
      <c r="H78" s="14">
        <f>SUM(H80:H88)</f>
        <v>8264.81</v>
      </c>
      <c r="I78" s="14">
        <f>SUM(I80:I88)</f>
        <v>10541.920000000002</v>
      </c>
    </row>
    <row r="79" spans="1:9" ht="15.75" thickBot="1" x14ac:dyDescent="0.3">
      <c r="A79" s="129"/>
      <c r="B79" s="130"/>
      <c r="C79" s="130"/>
      <c r="D79" s="130"/>
      <c r="E79" s="130"/>
      <c r="F79" s="130"/>
      <c r="G79" s="130"/>
      <c r="H79" s="130"/>
      <c r="I79" s="131"/>
    </row>
    <row r="80" spans="1:9" ht="15.75" thickBot="1" x14ac:dyDescent="0.3">
      <c r="A80" s="15" t="s">
        <v>108</v>
      </c>
      <c r="B80" s="20">
        <v>99063</v>
      </c>
      <c r="C80" s="16" t="s">
        <v>117</v>
      </c>
      <c r="D80" s="15" t="s">
        <v>15</v>
      </c>
      <c r="E80" s="17">
        <f>E85</f>
        <v>300</v>
      </c>
      <c r="F80" s="18">
        <f>TRUNC(4.18,2)</f>
        <v>4.18</v>
      </c>
      <c r="G80" s="19">
        <f>ROUND((F80+F80*$G$3),2)</f>
        <v>5.33</v>
      </c>
      <c r="H80" s="56">
        <f t="shared" ref="H80:H88" si="15">ROUND((F80*E80),2)</f>
        <v>1254</v>
      </c>
      <c r="I80" s="56">
        <f t="shared" ref="I80:I88" si="16">ROUND((G80*E80),2)</f>
        <v>1599</v>
      </c>
    </row>
    <row r="81" spans="1:9" ht="75.75" thickBot="1" x14ac:dyDescent="0.3">
      <c r="A81" s="15" t="s">
        <v>109</v>
      </c>
      <c r="B81" s="20">
        <v>90105</v>
      </c>
      <c r="C81" s="16" t="s">
        <v>118</v>
      </c>
      <c r="D81" s="15" t="s">
        <v>37</v>
      </c>
      <c r="E81" s="17">
        <f>E85*0.5*0.55</f>
        <v>82.5</v>
      </c>
      <c r="F81" s="25">
        <f>TRUNC(7.49,2)</f>
        <v>7.49</v>
      </c>
      <c r="G81" s="19">
        <f t="shared" ref="G81:G88" si="17">ROUND((F81+F81*$G$3),2)</f>
        <v>9.5500000000000007</v>
      </c>
      <c r="H81" s="56">
        <f t="shared" si="15"/>
        <v>617.92999999999995</v>
      </c>
      <c r="I81" s="56">
        <f t="shared" si="16"/>
        <v>787.88</v>
      </c>
    </row>
    <row r="82" spans="1:9" ht="45.75" thickBot="1" x14ac:dyDescent="0.3">
      <c r="A82" s="15" t="s">
        <v>110</v>
      </c>
      <c r="B82" s="54">
        <v>102311</v>
      </c>
      <c r="C82" s="16" t="s">
        <v>119</v>
      </c>
      <c r="D82" s="15" t="s">
        <v>37</v>
      </c>
      <c r="E82" s="17">
        <f>E85*0.5*0.25</f>
        <v>37.5</v>
      </c>
      <c r="F82" s="25">
        <f>TRUNC(11.39,2)</f>
        <v>11.39</v>
      </c>
      <c r="G82" s="19">
        <f t="shared" si="17"/>
        <v>14.53</v>
      </c>
      <c r="H82" s="56">
        <f t="shared" si="15"/>
        <v>427.13</v>
      </c>
      <c r="I82" s="56">
        <f t="shared" si="16"/>
        <v>544.88</v>
      </c>
    </row>
    <row r="83" spans="1:9" ht="15.75" thickBot="1" x14ac:dyDescent="0.3">
      <c r="A83" s="15" t="s">
        <v>111</v>
      </c>
      <c r="B83" s="20" t="s">
        <v>120</v>
      </c>
      <c r="C83" s="16" t="s">
        <v>131</v>
      </c>
      <c r="D83" s="15" t="s">
        <v>37</v>
      </c>
      <c r="E83" s="17">
        <f>E85*0.5*0.1</f>
        <v>15</v>
      </c>
      <c r="F83" s="25">
        <f>TRUNC(128.9,2)</f>
        <v>128.9</v>
      </c>
      <c r="G83" s="19">
        <f t="shared" si="17"/>
        <v>164.41</v>
      </c>
      <c r="H83" s="56">
        <f t="shared" si="15"/>
        <v>1933.5</v>
      </c>
      <c r="I83" s="56">
        <f t="shared" si="16"/>
        <v>2466.15</v>
      </c>
    </row>
    <row r="84" spans="1:9" ht="60.75" thickBot="1" x14ac:dyDescent="0.3">
      <c r="A84" s="15" t="s">
        <v>112</v>
      </c>
      <c r="B84" s="20">
        <v>93378</v>
      </c>
      <c r="C84" s="16" t="s">
        <v>121</v>
      </c>
      <c r="D84" s="15" t="s">
        <v>37</v>
      </c>
      <c r="E84" s="17">
        <f>E85*0.5*0.7</f>
        <v>105</v>
      </c>
      <c r="F84" s="25">
        <f>TRUNC(19.97,2)</f>
        <v>19.97</v>
      </c>
      <c r="G84" s="19">
        <f t="shared" si="17"/>
        <v>25.47</v>
      </c>
      <c r="H84" s="56">
        <f t="shared" si="15"/>
        <v>2096.85</v>
      </c>
      <c r="I84" s="56">
        <f t="shared" si="16"/>
        <v>2674.35</v>
      </c>
    </row>
    <row r="85" spans="1:9" ht="30.75" thickBot="1" x14ac:dyDescent="0.3">
      <c r="A85" s="15" t="s">
        <v>113</v>
      </c>
      <c r="B85" s="20">
        <v>89446</v>
      </c>
      <c r="C85" s="16" t="s">
        <v>122</v>
      </c>
      <c r="D85" s="15" t="s">
        <v>15</v>
      </c>
      <c r="E85" s="17">
        <v>300</v>
      </c>
      <c r="F85" s="21">
        <f>TRUNC(5.94,2)</f>
        <v>5.94</v>
      </c>
      <c r="G85" s="19">
        <f t="shared" si="17"/>
        <v>7.58</v>
      </c>
      <c r="H85" s="56">
        <f t="shared" si="15"/>
        <v>1782</v>
      </c>
      <c r="I85" s="56">
        <f t="shared" si="16"/>
        <v>2274</v>
      </c>
    </row>
    <row r="86" spans="1:9" ht="15.75" thickBot="1" x14ac:dyDescent="0.3">
      <c r="A86" s="15" t="s">
        <v>114</v>
      </c>
      <c r="B86" s="20" t="s">
        <v>123</v>
      </c>
      <c r="C86" s="16" t="s">
        <v>124</v>
      </c>
      <c r="D86" s="15" t="s">
        <v>18</v>
      </c>
      <c r="E86" s="17">
        <v>1</v>
      </c>
      <c r="F86" s="18">
        <f>TRUNC(4.18,)</f>
        <v>4</v>
      </c>
      <c r="G86" s="19">
        <f t="shared" si="17"/>
        <v>5.0999999999999996</v>
      </c>
      <c r="H86" s="56">
        <f t="shared" si="15"/>
        <v>4</v>
      </c>
      <c r="I86" s="56">
        <f t="shared" si="16"/>
        <v>5.0999999999999996</v>
      </c>
    </row>
    <row r="87" spans="1:9" ht="15.75" thickBot="1" x14ac:dyDescent="0.3">
      <c r="A87" s="15" t="s">
        <v>115</v>
      </c>
      <c r="B87" s="20" t="s">
        <v>125</v>
      </c>
      <c r="C87" s="16" t="s">
        <v>126</v>
      </c>
      <c r="D87" s="15" t="s">
        <v>18</v>
      </c>
      <c r="E87" s="17">
        <v>1</v>
      </c>
      <c r="F87" s="18">
        <f>TRUNC(36.48,2)</f>
        <v>36.479999999999997</v>
      </c>
      <c r="G87" s="19">
        <f t="shared" si="17"/>
        <v>46.53</v>
      </c>
      <c r="H87" s="56">
        <f t="shared" si="15"/>
        <v>36.479999999999997</v>
      </c>
      <c r="I87" s="56">
        <f t="shared" si="16"/>
        <v>46.53</v>
      </c>
    </row>
    <row r="88" spans="1:9" ht="30.75" thickBot="1" x14ac:dyDescent="0.3">
      <c r="A88" s="15" t="s">
        <v>116</v>
      </c>
      <c r="B88" s="20" t="s">
        <v>127</v>
      </c>
      <c r="C88" s="16" t="s">
        <v>128</v>
      </c>
      <c r="D88" s="15" t="s">
        <v>18</v>
      </c>
      <c r="E88" s="17">
        <v>1</v>
      </c>
      <c r="F88" s="18">
        <f>TRUNC(112.92,2)</f>
        <v>112.92</v>
      </c>
      <c r="G88" s="19">
        <f t="shared" si="17"/>
        <v>144.03</v>
      </c>
      <c r="H88" s="56">
        <f t="shared" si="15"/>
        <v>112.92</v>
      </c>
      <c r="I88" s="56">
        <f t="shared" si="16"/>
        <v>144.03</v>
      </c>
    </row>
    <row r="89" spans="1:9" ht="15.75" thickBot="1" x14ac:dyDescent="0.3">
      <c r="A89" s="129"/>
      <c r="B89" s="130"/>
      <c r="C89" s="130"/>
      <c r="D89" s="130"/>
      <c r="E89" s="130"/>
      <c r="F89" s="130"/>
      <c r="G89" s="130"/>
      <c r="H89" s="130"/>
      <c r="I89" s="131"/>
    </row>
    <row r="90" spans="1:9" s="1" customFormat="1" ht="15.75" thickBot="1" x14ac:dyDescent="0.3">
      <c r="A90" s="125" t="s">
        <v>129</v>
      </c>
      <c r="B90" s="126"/>
      <c r="C90" s="126"/>
      <c r="D90" s="126"/>
      <c r="E90" s="126"/>
      <c r="F90" s="126"/>
      <c r="G90" s="127"/>
      <c r="H90" s="14">
        <f>ROUND((SUM(H78,H45,H12,H7)),3)</f>
        <v>62134.28</v>
      </c>
      <c r="I90" s="14">
        <f>ROUND((SUM(I78,I45,I12,I7)),3)</f>
        <v>79251.63</v>
      </c>
    </row>
  </sheetData>
  <mergeCells count="21">
    <mergeCell ref="A79:I79"/>
    <mergeCell ref="A89:I89"/>
    <mergeCell ref="A90:G90"/>
    <mergeCell ref="C45:F45"/>
    <mergeCell ref="A46:I46"/>
    <mergeCell ref="A53:I53"/>
    <mergeCell ref="A74:I74"/>
    <mergeCell ref="A77:I77"/>
    <mergeCell ref="C78:F78"/>
    <mergeCell ref="A44:I44"/>
    <mergeCell ref="A1:I2"/>
    <mergeCell ref="A3:E3"/>
    <mergeCell ref="G3:I3"/>
    <mergeCell ref="A4:I4"/>
    <mergeCell ref="A6:I6"/>
    <mergeCell ref="C7:F7"/>
    <mergeCell ref="A8:I8"/>
    <mergeCell ref="A11:I11"/>
    <mergeCell ref="C12:F12"/>
    <mergeCell ref="A13:I13"/>
    <mergeCell ref="A25:I2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DF58-E710-47F9-8487-E2A418879599}">
  <dimension ref="A1:J90"/>
  <sheetViews>
    <sheetView showGridLines="0" topLeftCell="A7" zoomScale="85" zoomScaleNormal="85" workbookViewId="0">
      <selection activeCell="D19" sqref="D19"/>
    </sheetView>
  </sheetViews>
  <sheetFormatPr defaultRowHeight="15" x14ac:dyDescent="0.25"/>
  <cols>
    <col min="1" max="1" width="7.7109375" bestFit="1" customWidth="1"/>
    <col min="2" max="2" width="14.28515625" style="10" customWidth="1"/>
    <col min="3" max="3" width="65.140625" style="2" customWidth="1"/>
    <col min="4" max="4" width="9.28515625" bestFit="1" customWidth="1"/>
    <col min="5" max="5" width="13.140625" style="4" bestFit="1" customWidth="1"/>
    <col min="6" max="6" width="12.42578125" style="6" bestFit="1" customWidth="1"/>
    <col min="7" max="7" width="13.7109375" style="3" customWidth="1"/>
    <col min="8" max="9" width="16.42578125" customWidth="1"/>
    <col min="10" max="10" width="18.85546875" bestFit="1" customWidth="1"/>
  </cols>
  <sheetData>
    <row r="1" spans="1:9" ht="67.5" customHeight="1" x14ac:dyDescent="0.25">
      <c r="A1" s="134" t="s">
        <v>358</v>
      </c>
      <c r="B1" s="135"/>
      <c r="C1" s="135"/>
      <c r="D1" s="135"/>
      <c r="E1" s="135"/>
      <c r="F1" s="135"/>
      <c r="G1" s="135"/>
      <c r="H1" s="135"/>
      <c r="I1" s="136"/>
    </row>
    <row r="2" spans="1:9" ht="72.75" customHeight="1" thickBot="1" x14ac:dyDescent="0.3">
      <c r="A2" s="137"/>
      <c r="B2" s="138"/>
      <c r="C2" s="138"/>
      <c r="D2" s="138"/>
      <c r="E2" s="138"/>
      <c r="F2" s="138"/>
      <c r="G2" s="138"/>
      <c r="H2" s="138"/>
      <c r="I2" s="139"/>
    </row>
    <row r="3" spans="1:9" ht="15.75" thickBot="1" x14ac:dyDescent="0.3">
      <c r="A3" s="132" t="s">
        <v>339</v>
      </c>
      <c r="B3" s="132"/>
      <c r="C3" s="132"/>
      <c r="D3" s="132"/>
      <c r="E3" s="133"/>
      <c r="F3" s="88" t="s">
        <v>340</v>
      </c>
      <c r="G3" s="144">
        <f>BDI!B33</f>
        <v>0.27550000000000002</v>
      </c>
      <c r="H3" s="144"/>
      <c r="I3" s="144"/>
    </row>
    <row r="4" spans="1:9" ht="15.75" thickBot="1" x14ac:dyDescent="0.3">
      <c r="A4" s="133" t="s">
        <v>380</v>
      </c>
      <c r="B4" s="142"/>
      <c r="C4" s="142"/>
      <c r="D4" s="142"/>
      <c r="E4" s="142"/>
      <c r="F4" s="142"/>
      <c r="G4" s="142"/>
      <c r="H4" s="142"/>
      <c r="I4" s="143"/>
    </row>
    <row r="5" spans="1:9" s="9" customFormat="1" ht="30" customHeight="1" thickBot="1" x14ac:dyDescent="0.3">
      <c r="A5" s="26" t="s">
        <v>0</v>
      </c>
      <c r="B5" s="27" t="s">
        <v>1</v>
      </c>
      <c r="C5" s="27" t="s">
        <v>2</v>
      </c>
      <c r="D5" s="26" t="s">
        <v>3</v>
      </c>
      <c r="E5" s="28" t="s">
        <v>4</v>
      </c>
      <c r="F5" s="29" t="s">
        <v>5</v>
      </c>
      <c r="G5" s="89" t="s">
        <v>378</v>
      </c>
      <c r="H5" s="30" t="s">
        <v>382</v>
      </c>
      <c r="I5" s="30" t="s">
        <v>360</v>
      </c>
    </row>
    <row r="6" spans="1:9" ht="15.75" thickBot="1" x14ac:dyDescent="0.3">
      <c r="A6" s="129"/>
      <c r="B6" s="130"/>
      <c r="C6" s="130"/>
      <c r="D6" s="130"/>
      <c r="E6" s="130"/>
      <c r="F6" s="130"/>
      <c r="G6" s="130"/>
      <c r="H6" s="130"/>
      <c r="I6" s="131"/>
    </row>
    <row r="7" spans="1:9" s="1" customFormat="1" ht="15.75" thickBot="1" x14ac:dyDescent="0.3">
      <c r="A7" s="58" t="s">
        <v>7</v>
      </c>
      <c r="B7" s="59"/>
      <c r="C7" s="140" t="s">
        <v>12</v>
      </c>
      <c r="D7" s="140"/>
      <c r="E7" s="140"/>
      <c r="F7" s="140"/>
      <c r="G7" s="60">
        <f>ROUND((SUM(G9:G10)),2)</f>
        <v>38026.85</v>
      </c>
      <c r="H7" s="60">
        <f>SUM(H9:H10)</f>
        <v>30243.309999999998</v>
      </c>
      <c r="I7" s="60">
        <f>SUM(I9:I10)</f>
        <v>38575.310000000005</v>
      </c>
    </row>
    <row r="8" spans="1:9" ht="15.75" thickBot="1" x14ac:dyDescent="0.3">
      <c r="A8" s="129"/>
      <c r="B8" s="130"/>
      <c r="C8" s="130"/>
      <c r="D8" s="130"/>
      <c r="E8" s="130"/>
      <c r="F8" s="130"/>
      <c r="G8" s="130"/>
      <c r="H8" s="130"/>
      <c r="I8" s="131"/>
    </row>
    <row r="9" spans="1:9" ht="30.75" thickBot="1" x14ac:dyDescent="0.3">
      <c r="A9" s="15" t="s">
        <v>8</v>
      </c>
      <c r="B9" s="20" t="s">
        <v>13</v>
      </c>
      <c r="C9" s="16" t="s">
        <v>14</v>
      </c>
      <c r="D9" s="15" t="s">
        <v>15</v>
      </c>
      <c r="E9" s="17">
        <v>10</v>
      </c>
      <c r="F9" s="21">
        <f>TRUNC((COMPOSIÇÕES!G274),2)</f>
        <v>47.78</v>
      </c>
      <c r="G9" s="66">
        <f>ROUND((F9+F9*$G$3),2)</f>
        <v>60.94</v>
      </c>
      <c r="H9" s="56">
        <f>ROUND((F9*E9),2)</f>
        <v>477.8</v>
      </c>
      <c r="I9" s="56">
        <f>ROUND((G9*E9),2)</f>
        <v>609.4</v>
      </c>
    </row>
    <row r="10" spans="1:9" ht="15.75" thickBot="1" x14ac:dyDescent="0.3">
      <c r="A10" s="15" t="s">
        <v>9</v>
      </c>
      <c r="B10" s="69" t="s">
        <v>16</v>
      </c>
      <c r="C10" s="57" t="s">
        <v>17</v>
      </c>
      <c r="D10" s="68" t="s">
        <v>18</v>
      </c>
      <c r="E10" s="70">
        <v>1</v>
      </c>
      <c r="F10" s="71">
        <f>TRUNC((COMPOSIÇÕES!G37),2)</f>
        <v>29765.51</v>
      </c>
      <c r="G10" s="66">
        <f>ROUND((F10+F10*$G$3),2)</f>
        <v>37965.910000000003</v>
      </c>
      <c r="H10" s="56">
        <f>ROUND((F10*E10),2)</f>
        <v>29765.51</v>
      </c>
      <c r="I10" s="56">
        <f>ROUND((G10*E10),2)</f>
        <v>37965.910000000003</v>
      </c>
    </row>
    <row r="11" spans="1:9" ht="15.75" thickBot="1" x14ac:dyDescent="0.3">
      <c r="A11" s="129"/>
      <c r="B11" s="130"/>
      <c r="C11" s="130"/>
      <c r="D11" s="130"/>
      <c r="E11" s="130"/>
      <c r="F11" s="130"/>
      <c r="G11" s="130"/>
      <c r="H11" s="130"/>
      <c r="I11" s="131"/>
    </row>
    <row r="12" spans="1:9" ht="15.75" thickBot="1" x14ac:dyDescent="0.3">
      <c r="A12" s="73" t="s">
        <v>19</v>
      </c>
      <c r="B12" s="74"/>
      <c r="C12" s="141" t="s">
        <v>20</v>
      </c>
      <c r="D12" s="141"/>
      <c r="E12" s="141"/>
      <c r="F12" s="141"/>
      <c r="G12" s="75">
        <f>ROUND((SUM(G14,G26,G33)),2)</f>
        <v>8432.16</v>
      </c>
      <c r="H12" s="75">
        <f>SUM(H14,H26,H33)</f>
        <v>3287.6699999999996</v>
      </c>
      <c r="I12" s="75">
        <f>SUM(I14,I26,I33)</f>
        <v>4193.29</v>
      </c>
    </row>
    <row r="13" spans="1:9" ht="15.75" thickBot="1" x14ac:dyDescent="0.3">
      <c r="A13" s="129"/>
      <c r="B13" s="130"/>
      <c r="C13" s="130"/>
      <c r="D13" s="130"/>
      <c r="E13" s="130"/>
      <c r="F13" s="130"/>
      <c r="G13" s="130"/>
      <c r="H13" s="130"/>
      <c r="I13" s="131"/>
    </row>
    <row r="14" spans="1:9" s="1" customFormat="1" ht="15.75" thickBot="1" x14ac:dyDescent="0.3">
      <c r="A14" s="76" t="s">
        <v>21</v>
      </c>
      <c r="B14" s="27"/>
      <c r="C14" s="77" t="s">
        <v>22</v>
      </c>
      <c r="D14" s="76"/>
      <c r="E14" s="78"/>
      <c r="F14" s="79"/>
      <c r="G14" s="80">
        <f>ROUND((SUM(G15:G24)),2)</f>
        <v>3630.84</v>
      </c>
      <c r="H14" s="80">
        <f>(SUM(H15:H24))</f>
        <v>0</v>
      </c>
      <c r="I14" s="80">
        <f>(SUM(I15:I24))</f>
        <v>0</v>
      </c>
    </row>
    <row r="15" spans="1:9" ht="30.75" thickBot="1" x14ac:dyDescent="0.3">
      <c r="A15" s="15" t="s">
        <v>24</v>
      </c>
      <c r="B15" s="20" t="s">
        <v>34</v>
      </c>
      <c r="C15" s="16" t="s">
        <v>35</v>
      </c>
      <c r="D15" s="15" t="s">
        <v>11</v>
      </c>
      <c r="E15" s="17">
        <v>0</v>
      </c>
      <c r="F15" s="18">
        <f>TRUNC(9.25,2)</f>
        <v>9.25</v>
      </c>
      <c r="G15" s="19">
        <f>ROUND((F15+F15*$G$3),2)</f>
        <v>11.8</v>
      </c>
      <c r="H15" s="56">
        <f>ROUND((F15*E15),2)</f>
        <v>0</v>
      </c>
      <c r="I15" s="56">
        <f t="shared" ref="I15:I24" si="0">ROUND((G15*E15),2)</f>
        <v>0</v>
      </c>
    </row>
    <row r="16" spans="1:9" ht="15.75" thickBot="1" x14ac:dyDescent="0.3">
      <c r="A16" s="15" t="s">
        <v>25</v>
      </c>
      <c r="B16" s="20">
        <v>93358</v>
      </c>
      <c r="C16" s="16" t="s">
        <v>36</v>
      </c>
      <c r="D16" s="15" t="s">
        <v>37</v>
      </c>
      <c r="E16" s="17">
        <v>0</v>
      </c>
      <c r="F16" s="18">
        <f>TRUNC(61.43,2)</f>
        <v>61.43</v>
      </c>
      <c r="G16" s="19">
        <f t="shared" ref="G16:G24" si="1">ROUND((F16+F16*$G$3),2)</f>
        <v>78.349999999999994</v>
      </c>
      <c r="H16" s="56">
        <f t="shared" ref="H16:H24" si="2">ROUND((F16*E16),2)</f>
        <v>0</v>
      </c>
      <c r="I16" s="56">
        <f t="shared" si="0"/>
        <v>0</v>
      </c>
    </row>
    <row r="17" spans="1:10" ht="30.75" thickBot="1" x14ac:dyDescent="0.3">
      <c r="A17" s="15" t="s">
        <v>26</v>
      </c>
      <c r="B17" s="20">
        <v>101159</v>
      </c>
      <c r="C17" s="16" t="s">
        <v>180</v>
      </c>
      <c r="D17" s="15" t="s">
        <v>11</v>
      </c>
      <c r="E17" s="17">
        <v>0</v>
      </c>
      <c r="F17" s="18">
        <f>TRUNC(108.26,2)</f>
        <v>108.26</v>
      </c>
      <c r="G17" s="19">
        <f t="shared" si="1"/>
        <v>138.09</v>
      </c>
      <c r="H17" s="56">
        <f t="shared" si="2"/>
        <v>0</v>
      </c>
      <c r="I17" s="56">
        <f t="shared" si="0"/>
        <v>0</v>
      </c>
    </row>
    <row r="18" spans="1:10" ht="60.75" thickBot="1" x14ac:dyDescent="0.3">
      <c r="A18" s="15" t="s">
        <v>27</v>
      </c>
      <c r="B18" s="20">
        <v>103357</v>
      </c>
      <c r="C18" s="16" t="s">
        <v>38</v>
      </c>
      <c r="D18" s="15" t="s">
        <v>11</v>
      </c>
      <c r="E18" s="17">
        <v>0</v>
      </c>
      <c r="F18" s="25">
        <f>TRUNC(44.1,2)</f>
        <v>44.1</v>
      </c>
      <c r="G18" s="19">
        <f t="shared" si="1"/>
        <v>56.25</v>
      </c>
      <c r="H18" s="56">
        <f t="shared" si="2"/>
        <v>0</v>
      </c>
      <c r="I18" s="56">
        <f t="shared" si="0"/>
        <v>0</v>
      </c>
    </row>
    <row r="19" spans="1:10" ht="45.75" thickBot="1" x14ac:dyDescent="0.3">
      <c r="A19" s="15" t="s">
        <v>28</v>
      </c>
      <c r="B19" s="20">
        <v>87879</v>
      </c>
      <c r="C19" s="16" t="s">
        <v>39</v>
      </c>
      <c r="D19" s="15" t="s">
        <v>11</v>
      </c>
      <c r="E19" s="17">
        <v>0</v>
      </c>
      <c r="F19" s="18">
        <f>TRUNC(3.45,2)</f>
        <v>3.45</v>
      </c>
      <c r="G19" s="19">
        <f t="shared" si="1"/>
        <v>4.4000000000000004</v>
      </c>
      <c r="H19" s="56">
        <f t="shared" si="2"/>
        <v>0</v>
      </c>
      <c r="I19" s="56">
        <f t="shared" si="0"/>
        <v>0</v>
      </c>
    </row>
    <row r="20" spans="1:10" ht="60.75" thickBot="1" x14ac:dyDescent="0.3">
      <c r="A20" s="15" t="s">
        <v>29</v>
      </c>
      <c r="B20" s="20">
        <v>87529</v>
      </c>
      <c r="C20" s="16" t="s">
        <v>40</v>
      </c>
      <c r="D20" s="15" t="s">
        <v>11</v>
      </c>
      <c r="E20" s="17">
        <v>0</v>
      </c>
      <c r="F20" s="25">
        <f>TRUNC(29.81,2)</f>
        <v>29.81</v>
      </c>
      <c r="G20" s="19">
        <f t="shared" si="1"/>
        <v>38.020000000000003</v>
      </c>
      <c r="H20" s="56">
        <f t="shared" si="2"/>
        <v>0</v>
      </c>
      <c r="I20" s="56">
        <f t="shared" si="0"/>
        <v>0</v>
      </c>
    </row>
    <row r="21" spans="1:10" ht="30.75" thickBot="1" x14ac:dyDescent="0.3">
      <c r="A21" s="15" t="s">
        <v>30</v>
      </c>
      <c r="B21" s="20">
        <v>88489</v>
      </c>
      <c r="C21" s="16" t="s">
        <v>333</v>
      </c>
      <c r="D21" s="15" t="s">
        <v>11</v>
      </c>
      <c r="E21" s="17">
        <v>0</v>
      </c>
      <c r="F21" s="25">
        <f>TRUNC(12.94,2)</f>
        <v>12.94</v>
      </c>
      <c r="G21" s="19">
        <f t="shared" si="1"/>
        <v>16.5</v>
      </c>
      <c r="H21" s="56">
        <f t="shared" si="2"/>
        <v>0</v>
      </c>
      <c r="I21" s="56">
        <f t="shared" si="0"/>
        <v>0</v>
      </c>
    </row>
    <row r="22" spans="1:10" ht="45.75" thickBot="1" x14ac:dyDescent="0.3">
      <c r="A22" s="15" t="s">
        <v>31</v>
      </c>
      <c r="B22" s="20" t="s">
        <v>42</v>
      </c>
      <c r="C22" s="16" t="s">
        <v>41</v>
      </c>
      <c r="D22" s="15" t="s">
        <v>18</v>
      </c>
      <c r="E22" s="17">
        <v>0</v>
      </c>
      <c r="F22" s="25">
        <f>TRUNC(('[1]COMP. 02'!G15),2)</f>
        <v>1966.32</v>
      </c>
      <c r="G22" s="19">
        <f t="shared" si="1"/>
        <v>2508.04</v>
      </c>
      <c r="H22" s="56">
        <f t="shared" si="2"/>
        <v>0</v>
      </c>
      <c r="I22" s="56">
        <f t="shared" si="0"/>
        <v>0</v>
      </c>
    </row>
    <row r="23" spans="1:10" ht="15.75" thickBot="1" x14ac:dyDescent="0.3">
      <c r="A23" s="15" t="s">
        <v>32</v>
      </c>
      <c r="B23" s="20" t="s">
        <v>337</v>
      </c>
      <c r="C23" s="16" t="s">
        <v>43</v>
      </c>
      <c r="D23" s="15" t="s">
        <v>11</v>
      </c>
      <c r="E23" s="17">
        <v>0</v>
      </c>
      <c r="F23" s="18">
        <f>TRUNC(574.65,2)</f>
        <v>574.65</v>
      </c>
      <c r="G23" s="19">
        <f t="shared" si="1"/>
        <v>732.97</v>
      </c>
      <c r="H23" s="56">
        <f t="shared" si="2"/>
        <v>0</v>
      </c>
      <c r="I23" s="56">
        <f t="shared" si="0"/>
        <v>0</v>
      </c>
      <c r="J23" s="87"/>
    </row>
    <row r="24" spans="1:10" ht="30.75" thickBot="1" x14ac:dyDescent="0.3">
      <c r="A24" s="68" t="s">
        <v>33</v>
      </c>
      <c r="B24" s="69">
        <v>100761</v>
      </c>
      <c r="C24" s="57" t="s">
        <v>130</v>
      </c>
      <c r="D24" s="68" t="s">
        <v>11</v>
      </c>
      <c r="E24" s="17">
        <v>0</v>
      </c>
      <c r="F24" s="71">
        <f>TRUNC(36.39,2)</f>
        <v>36.39</v>
      </c>
      <c r="G24" s="19">
        <f t="shared" si="1"/>
        <v>46.42</v>
      </c>
      <c r="H24" s="56">
        <f t="shared" si="2"/>
        <v>0</v>
      </c>
      <c r="I24" s="56">
        <f t="shared" si="0"/>
        <v>0</v>
      </c>
    </row>
    <row r="25" spans="1:10" ht="15.75" thickBot="1" x14ac:dyDescent="0.3">
      <c r="A25" s="129"/>
      <c r="B25" s="130"/>
      <c r="C25" s="130"/>
      <c r="D25" s="130"/>
      <c r="E25" s="130"/>
      <c r="F25" s="130"/>
      <c r="G25" s="130"/>
      <c r="H25" s="130"/>
      <c r="I25" s="131"/>
    </row>
    <row r="26" spans="1:10" ht="15.75" thickBot="1" x14ac:dyDescent="0.3">
      <c r="A26" s="76" t="s">
        <v>23</v>
      </c>
      <c r="B26" s="27"/>
      <c r="C26" s="77" t="s">
        <v>44</v>
      </c>
      <c r="D26" s="76"/>
      <c r="E26" s="78"/>
      <c r="F26" s="79"/>
      <c r="G26" s="80">
        <f>ROUND((SUM(G27:G31)),2)</f>
        <v>3389.2</v>
      </c>
      <c r="H26" s="80">
        <f>(SUM(H27:H31))</f>
        <v>423.58000000000004</v>
      </c>
      <c r="I26" s="80">
        <f>(SUM(I27:I31))</f>
        <v>540.27</v>
      </c>
    </row>
    <row r="27" spans="1:10" ht="15.75" thickBot="1" x14ac:dyDescent="0.3">
      <c r="A27" s="15" t="s">
        <v>45</v>
      </c>
      <c r="B27" s="20">
        <v>93358</v>
      </c>
      <c r="C27" s="16" t="s">
        <v>36</v>
      </c>
      <c r="D27" s="15" t="s">
        <v>37</v>
      </c>
      <c r="E27" s="17">
        <v>0.32</v>
      </c>
      <c r="F27" s="25">
        <f>TRUNC(61.43,2)</f>
        <v>61.43</v>
      </c>
      <c r="G27" s="19">
        <f>ROUND((F27+F27*$G$3),2)</f>
        <v>78.349999999999994</v>
      </c>
      <c r="H27" s="56">
        <f t="shared" ref="H27:H31" si="3">ROUND((F27*E27),2)</f>
        <v>19.66</v>
      </c>
      <c r="I27" s="56">
        <f>ROUND((G27*E27),2)</f>
        <v>25.07</v>
      </c>
    </row>
    <row r="28" spans="1:10" ht="30.75" thickBot="1" x14ac:dyDescent="0.3">
      <c r="A28" s="15" t="s">
        <v>46</v>
      </c>
      <c r="B28" s="20">
        <v>101159</v>
      </c>
      <c r="C28" s="16" t="s">
        <v>180</v>
      </c>
      <c r="D28" s="15" t="s">
        <v>11</v>
      </c>
      <c r="E28" s="17">
        <v>1.1200000000000001</v>
      </c>
      <c r="F28" s="25">
        <f>TRUNC(108.26,2)</f>
        <v>108.26</v>
      </c>
      <c r="G28" s="19">
        <f t="shared" ref="G28:G31" si="4">ROUND((F28+F28*$G$3),2)</f>
        <v>138.09</v>
      </c>
      <c r="H28" s="56">
        <f t="shared" si="3"/>
        <v>121.25</v>
      </c>
      <c r="I28" s="56">
        <f>ROUND((G28*E28),2)</f>
        <v>154.66</v>
      </c>
    </row>
    <row r="29" spans="1:10" ht="45.75" thickBot="1" x14ac:dyDescent="0.3">
      <c r="A29" s="15" t="s">
        <v>47</v>
      </c>
      <c r="B29" s="20">
        <v>87879</v>
      </c>
      <c r="C29" s="16" t="s">
        <v>39</v>
      </c>
      <c r="D29" s="15" t="s">
        <v>11</v>
      </c>
      <c r="E29" s="17">
        <v>1.1200000000000001</v>
      </c>
      <c r="F29" s="18">
        <f>TRUNC(3.45,2)</f>
        <v>3.45</v>
      </c>
      <c r="G29" s="19">
        <f t="shared" si="4"/>
        <v>4.4000000000000004</v>
      </c>
      <c r="H29" s="56">
        <f t="shared" si="3"/>
        <v>3.86</v>
      </c>
      <c r="I29" s="56">
        <f>ROUND((G29*E29),2)</f>
        <v>4.93</v>
      </c>
    </row>
    <row r="30" spans="1:10" ht="60.75" thickBot="1" x14ac:dyDescent="0.3">
      <c r="A30" s="15" t="s">
        <v>48</v>
      </c>
      <c r="B30" s="20">
        <v>87529</v>
      </c>
      <c r="C30" s="16" t="s">
        <v>40</v>
      </c>
      <c r="D30" s="15" t="s">
        <v>11</v>
      </c>
      <c r="E30" s="17">
        <v>1.1200000000000001</v>
      </c>
      <c r="F30" s="25">
        <f>TRUNC(29.81,2)</f>
        <v>29.81</v>
      </c>
      <c r="G30" s="19">
        <f t="shared" si="4"/>
        <v>38.020000000000003</v>
      </c>
      <c r="H30" s="56">
        <f t="shared" si="3"/>
        <v>33.39</v>
      </c>
      <c r="I30" s="56">
        <f>ROUND((G30*E30),2)</f>
        <v>42.58</v>
      </c>
    </row>
    <row r="31" spans="1:10" ht="45.75" thickBot="1" x14ac:dyDescent="0.3">
      <c r="A31" s="68" t="s">
        <v>49</v>
      </c>
      <c r="B31" s="69" t="s">
        <v>50</v>
      </c>
      <c r="C31" s="57" t="s">
        <v>51</v>
      </c>
      <c r="D31" s="68" t="s">
        <v>37</v>
      </c>
      <c r="E31" s="70">
        <v>0.1</v>
      </c>
      <c r="F31" s="72">
        <f>TRUNC(2454.21,2)</f>
        <v>2454.21</v>
      </c>
      <c r="G31" s="19">
        <f t="shared" si="4"/>
        <v>3130.34</v>
      </c>
      <c r="H31" s="56">
        <f t="shared" si="3"/>
        <v>245.42</v>
      </c>
      <c r="I31" s="56">
        <f>ROUND((G31*E31),2)</f>
        <v>313.02999999999997</v>
      </c>
    </row>
    <row r="32" spans="1:10" ht="15.75" thickBot="1" x14ac:dyDescent="0.3">
      <c r="A32" s="81"/>
      <c r="B32" s="82"/>
      <c r="C32" s="82"/>
      <c r="D32" s="82"/>
      <c r="E32" s="82"/>
      <c r="F32" s="82"/>
      <c r="G32" s="82"/>
      <c r="H32" s="67"/>
      <c r="I32" s="67"/>
    </row>
    <row r="33" spans="1:9" ht="15.75" thickBot="1" x14ac:dyDescent="0.3">
      <c r="A33" s="76" t="s">
        <v>52</v>
      </c>
      <c r="B33" s="27"/>
      <c r="C33" s="77" t="s">
        <v>63</v>
      </c>
      <c r="D33" s="76"/>
      <c r="E33" s="78"/>
      <c r="F33" s="79"/>
      <c r="G33" s="80">
        <f>ROUND((SUM(G34:G43)),2)</f>
        <v>1412.12</v>
      </c>
      <c r="H33" s="80">
        <f>(SUM(H34:H43))</f>
        <v>2864.0899999999997</v>
      </c>
      <c r="I33" s="80">
        <f>(SUM(I34:I43))</f>
        <v>3653.02</v>
      </c>
    </row>
    <row r="34" spans="1:9" ht="15.75" thickBot="1" x14ac:dyDescent="0.3">
      <c r="A34" s="15" t="s">
        <v>53</v>
      </c>
      <c r="B34" s="20">
        <v>93358</v>
      </c>
      <c r="C34" s="16" t="s">
        <v>36</v>
      </c>
      <c r="D34" s="15" t="s">
        <v>37</v>
      </c>
      <c r="E34" s="17">
        <v>0.18</v>
      </c>
      <c r="F34" s="25">
        <f>TRUNC(61.43,2)</f>
        <v>61.43</v>
      </c>
      <c r="G34" s="19">
        <f>ROUND((F34+F34*$G$3),2)</f>
        <v>78.349999999999994</v>
      </c>
      <c r="H34" s="56">
        <f t="shared" ref="H34:H43" si="5">ROUND((F34*E34),2)</f>
        <v>11.06</v>
      </c>
      <c r="I34" s="56">
        <f t="shared" ref="I34:I43" si="6">ROUND((G34*E34),2)</f>
        <v>14.1</v>
      </c>
    </row>
    <row r="35" spans="1:9" ht="30.75" thickBot="1" x14ac:dyDescent="0.3">
      <c r="A35" s="15" t="s">
        <v>54</v>
      </c>
      <c r="B35" s="20">
        <v>101159</v>
      </c>
      <c r="C35" s="16" t="s">
        <v>180</v>
      </c>
      <c r="D35" s="15" t="s">
        <v>11</v>
      </c>
      <c r="E35" s="17">
        <v>1.32</v>
      </c>
      <c r="F35" s="25">
        <f>TRUNC(108.26,2)</f>
        <v>108.26</v>
      </c>
      <c r="G35" s="19">
        <f t="shared" ref="G35:G43" si="7">ROUND((F35+F35*$G$3),2)</f>
        <v>138.09</v>
      </c>
      <c r="H35" s="56">
        <f t="shared" si="5"/>
        <v>142.9</v>
      </c>
      <c r="I35" s="56">
        <f t="shared" si="6"/>
        <v>182.28</v>
      </c>
    </row>
    <row r="36" spans="1:9" ht="60.75" thickBot="1" x14ac:dyDescent="0.3">
      <c r="A36" s="15" t="s">
        <v>55</v>
      </c>
      <c r="B36" s="20">
        <v>103357</v>
      </c>
      <c r="C36" s="16" t="s">
        <v>38</v>
      </c>
      <c r="D36" s="15" t="s">
        <v>11</v>
      </c>
      <c r="E36" s="17">
        <v>6.76</v>
      </c>
      <c r="F36" s="25">
        <f>TRUNC(44.1,2)</f>
        <v>44.1</v>
      </c>
      <c r="G36" s="19">
        <f t="shared" si="7"/>
        <v>56.25</v>
      </c>
      <c r="H36" s="56">
        <f t="shared" si="5"/>
        <v>298.12</v>
      </c>
      <c r="I36" s="56">
        <f t="shared" si="6"/>
        <v>380.25</v>
      </c>
    </row>
    <row r="37" spans="1:9" ht="45.75" thickBot="1" x14ac:dyDescent="0.3">
      <c r="A37" s="15" t="s">
        <v>56</v>
      </c>
      <c r="B37" s="20">
        <v>87879</v>
      </c>
      <c r="C37" s="16" t="s">
        <v>39</v>
      </c>
      <c r="D37" s="15" t="s">
        <v>11</v>
      </c>
      <c r="E37" s="17">
        <v>19.3</v>
      </c>
      <c r="F37" s="25">
        <f>TRUNC(3.45,2)</f>
        <v>3.45</v>
      </c>
      <c r="G37" s="19">
        <f t="shared" si="7"/>
        <v>4.4000000000000004</v>
      </c>
      <c r="H37" s="56">
        <f t="shared" si="5"/>
        <v>66.59</v>
      </c>
      <c r="I37" s="56">
        <f t="shared" si="6"/>
        <v>84.92</v>
      </c>
    </row>
    <row r="38" spans="1:9" ht="60.75" thickBot="1" x14ac:dyDescent="0.3">
      <c r="A38" s="15" t="s">
        <v>57</v>
      </c>
      <c r="B38" s="20">
        <v>87529</v>
      </c>
      <c r="C38" s="16" t="s">
        <v>40</v>
      </c>
      <c r="D38" s="15" t="s">
        <v>11</v>
      </c>
      <c r="E38" s="17">
        <v>19.3</v>
      </c>
      <c r="F38" s="25">
        <f>TRUNC(29.81,2)</f>
        <v>29.81</v>
      </c>
      <c r="G38" s="19">
        <f t="shared" si="7"/>
        <v>38.020000000000003</v>
      </c>
      <c r="H38" s="56">
        <f t="shared" si="5"/>
        <v>575.33000000000004</v>
      </c>
      <c r="I38" s="56">
        <f t="shared" si="6"/>
        <v>733.79</v>
      </c>
    </row>
    <row r="39" spans="1:9" ht="30.75" thickBot="1" x14ac:dyDescent="0.3">
      <c r="A39" s="15" t="s">
        <v>58</v>
      </c>
      <c r="B39" s="20">
        <v>88489</v>
      </c>
      <c r="C39" s="16" t="s">
        <v>333</v>
      </c>
      <c r="D39" s="15" t="s">
        <v>11</v>
      </c>
      <c r="E39" s="17">
        <v>19.3</v>
      </c>
      <c r="F39" s="25">
        <f>TRUNC(12.94,2)</f>
        <v>12.94</v>
      </c>
      <c r="G39" s="19">
        <f t="shared" si="7"/>
        <v>16.5</v>
      </c>
      <c r="H39" s="56">
        <f t="shared" si="5"/>
        <v>249.74</v>
      </c>
      <c r="I39" s="56">
        <f t="shared" si="6"/>
        <v>318.45</v>
      </c>
    </row>
    <row r="40" spans="1:9" ht="30.75" thickBot="1" x14ac:dyDescent="0.3">
      <c r="A40" s="15" t="s">
        <v>59</v>
      </c>
      <c r="B40" s="20">
        <v>101964</v>
      </c>
      <c r="C40" s="16" t="s">
        <v>331</v>
      </c>
      <c r="D40" s="15" t="s">
        <v>11</v>
      </c>
      <c r="E40" s="17">
        <v>2.89</v>
      </c>
      <c r="F40" s="25">
        <f>TRUNC(150.92,2)</f>
        <v>150.91999999999999</v>
      </c>
      <c r="G40" s="19">
        <f t="shared" si="7"/>
        <v>192.5</v>
      </c>
      <c r="H40" s="56">
        <f t="shared" si="5"/>
        <v>436.16</v>
      </c>
      <c r="I40" s="56">
        <f t="shared" si="6"/>
        <v>556.33000000000004</v>
      </c>
    </row>
    <row r="41" spans="1:9" ht="15.75" thickBot="1" x14ac:dyDescent="0.3">
      <c r="A41" s="15" t="s">
        <v>60</v>
      </c>
      <c r="B41" s="20" t="s">
        <v>337</v>
      </c>
      <c r="C41" s="16" t="s">
        <v>43</v>
      </c>
      <c r="D41" s="15" t="s">
        <v>11</v>
      </c>
      <c r="E41" s="17">
        <v>1.28</v>
      </c>
      <c r="F41" s="18">
        <f>TRUNC(574.65,2)</f>
        <v>574.65</v>
      </c>
      <c r="G41" s="19">
        <f t="shared" si="7"/>
        <v>732.97</v>
      </c>
      <c r="H41" s="56">
        <f t="shared" si="5"/>
        <v>735.55</v>
      </c>
      <c r="I41" s="56">
        <f t="shared" si="6"/>
        <v>938.2</v>
      </c>
    </row>
    <row r="42" spans="1:9" ht="30.75" thickBot="1" x14ac:dyDescent="0.3">
      <c r="A42" s="15" t="s">
        <v>61</v>
      </c>
      <c r="B42" s="20">
        <v>100761</v>
      </c>
      <c r="C42" s="16" t="s">
        <v>130</v>
      </c>
      <c r="D42" s="15" t="s">
        <v>11</v>
      </c>
      <c r="E42" s="17">
        <v>2.56</v>
      </c>
      <c r="F42" s="18">
        <f>TRUNC(36.39,2)</f>
        <v>36.39</v>
      </c>
      <c r="G42" s="19">
        <f t="shared" si="7"/>
        <v>46.42</v>
      </c>
      <c r="H42" s="56">
        <f t="shared" si="5"/>
        <v>93.16</v>
      </c>
      <c r="I42" s="56">
        <f t="shared" si="6"/>
        <v>118.84</v>
      </c>
    </row>
    <row r="43" spans="1:9" ht="45.75" thickBot="1" x14ac:dyDescent="0.3">
      <c r="A43" s="15" t="s">
        <v>62</v>
      </c>
      <c r="B43" s="20">
        <v>94994</v>
      </c>
      <c r="C43" s="16" t="s">
        <v>64</v>
      </c>
      <c r="D43" s="15" t="s">
        <v>11</v>
      </c>
      <c r="E43" s="17">
        <v>3</v>
      </c>
      <c r="F43" s="25">
        <f>TRUNC(85.16,2)</f>
        <v>85.16</v>
      </c>
      <c r="G43" s="19">
        <f t="shared" si="7"/>
        <v>108.62</v>
      </c>
      <c r="H43" s="56">
        <f t="shared" si="5"/>
        <v>255.48</v>
      </c>
      <c r="I43" s="56">
        <f t="shared" si="6"/>
        <v>325.86</v>
      </c>
    </row>
    <row r="44" spans="1:9" ht="15.75" thickBot="1" x14ac:dyDescent="0.3">
      <c r="A44" s="129"/>
      <c r="B44" s="130"/>
      <c r="C44" s="130"/>
      <c r="D44" s="130"/>
      <c r="E44" s="130"/>
      <c r="F44" s="130"/>
      <c r="G44" s="130"/>
      <c r="H44" s="130"/>
      <c r="I44" s="131"/>
    </row>
    <row r="45" spans="1:9" ht="15.75" thickBot="1" x14ac:dyDescent="0.3">
      <c r="A45" s="13" t="s">
        <v>65</v>
      </c>
      <c r="B45" s="55"/>
      <c r="C45" s="128" t="s">
        <v>72</v>
      </c>
      <c r="D45" s="128"/>
      <c r="E45" s="128"/>
      <c r="F45" s="128"/>
      <c r="G45" s="14">
        <f>ROUND((SUM(G47,G54,G75)),2)</f>
        <v>8069.13</v>
      </c>
      <c r="H45" s="14">
        <f>(SUM(H47,H54,H75))</f>
        <v>4735.1399999999994</v>
      </c>
      <c r="I45" s="14">
        <f>(SUM(I47,I54,I75))</f>
        <v>6039.6800000000012</v>
      </c>
    </row>
    <row r="46" spans="1:9" ht="15.75" thickBot="1" x14ac:dyDescent="0.3">
      <c r="A46" s="129"/>
      <c r="B46" s="130"/>
      <c r="C46" s="130"/>
      <c r="D46" s="130"/>
      <c r="E46" s="130"/>
      <c r="F46" s="130"/>
      <c r="G46" s="130"/>
      <c r="H46" s="130"/>
      <c r="I46" s="131"/>
    </row>
    <row r="47" spans="1:9" ht="15.75" thickBot="1" x14ac:dyDescent="0.3">
      <c r="A47" s="13" t="s">
        <v>66</v>
      </c>
      <c r="B47" s="55"/>
      <c r="C47" s="22" t="s">
        <v>336</v>
      </c>
      <c r="D47" s="13"/>
      <c r="E47" s="23"/>
      <c r="F47" s="24"/>
      <c r="G47" s="14">
        <f>ROUND((SUM(G48:G52)),2)</f>
        <v>3187.73</v>
      </c>
      <c r="H47" s="14">
        <f>(SUM(H48:H52))</f>
        <v>0</v>
      </c>
      <c r="I47" s="14">
        <f>(SUM(I48:I52))</f>
        <v>0</v>
      </c>
    </row>
    <row r="48" spans="1:9" ht="30.75" thickBot="1" x14ac:dyDescent="0.3">
      <c r="A48" s="15" t="s">
        <v>67</v>
      </c>
      <c r="B48" s="20" t="s">
        <v>34</v>
      </c>
      <c r="C48" s="16" t="s">
        <v>35</v>
      </c>
      <c r="D48" s="15" t="s">
        <v>11</v>
      </c>
      <c r="E48" s="17">
        <v>0</v>
      </c>
      <c r="F48" s="18">
        <f>TRUNC(9.25,2)</f>
        <v>9.25</v>
      </c>
      <c r="G48" s="19">
        <f>ROUND((F48+F48*$G$3),2)</f>
        <v>11.8</v>
      </c>
      <c r="H48" s="56">
        <f t="shared" ref="H48:H52" si="8">ROUND((F48*E48),2)</f>
        <v>0</v>
      </c>
      <c r="I48" s="56">
        <f>ROUND((G48*E48),2)</f>
        <v>0</v>
      </c>
    </row>
    <row r="49" spans="1:9" ht="45.75" thickBot="1" x14ac:dyDescent="0.3">
      <c r="A49" s="15" t="s">
        <v>68</v>
      </c>
      <c r="B49" s="20" t="s">
        <v>334</v>
      </c>
      <c r="C49" s="16" t="s">
        <v>41</v>
      </c>
      <c r="D49" s="15" t="s">
        <v>18</v>
      </c>
      <c r="E49" s="17">
        <v>0</v>
      </c>
      <c r="F49" s="25">
        <f>TRUNC((COMPOSIÇÕES!G52),2)</f>
        <v>1865.97</v>
      </c>
      <c r="G49" s="19">
        <f t="shared" ref="G49:G52" si="9">ROUND((F49+F49*$G$3),2)</f>
        <v>2380.04</v>
      </c>
      <c r="H49" s="56">
        <f t="shared" si="8"/>
        <v>0</v>
      </c>
      <c r="I49" s="56">
        <f>ROUND((G49*E49),2)</f>
        <v>0</v>
      </c>
    </row>
    <row r="50" spans="1:9" ht="30.75" thickBot="1" x14ac:dyDescent="0.3">
      <c r="A50" s="15" t="s">
        <v>69</v>
      </c>
      <c r="B50" s="20">
        <v>88489</v>
      </c>
      <c r="C50" s="16" t="s">
        <v>333</v>
      </c>
      <c r="D50" s="15" t="s">
        <v>11</v>
      </c>
      <c r="E50" s="17">
        <v>0</v>
      </c>
      <c r="F50" s="25">
        <v>12.94</v>
      </c>
      <c r="G50" s="19">
        <f t="shared" si="9"/>
        <v>16.5</v>
      </c>
      <c r="H50" s="56">
        <f t="shared" si="8"/>
        <v>0</v>
      </c>
      <c r="I50" s="56">
        <f>ROUND((G50*E50),2)</f>
        <v>0</v>
      </c>
    </row>
    <row r="51" spans="1:9" ht="15.75" thickBot="1" x14ac:dyDescent="0.3">
      <c r="A51" s="15" t="s">
        <v>70</v>
      </c>
      <c r="B51" s="20" t="s">
        <v>337</v>
      </c>
      <c r="C51" s="16" t="s">
        <v>43</v>
      </c>
      <c r="D51" s="15" t="s">
        <v>11</v>
      </c>
      <c r="E51" s="17">
        <v>0</v>
      </c>
      <c r="F51" s="18">
        <f>TRUNC(574.65,2)</f>
        <v>574.65</v>
      </c>
      <c r="G51" s="19">
        <f t="shared" si="9"/>
        <v>732.97</v>
      </c>
      <c r="H51" s="56">
        <f t="shared" si="8"/>
        <v>0</v>
      </c>
      <c r="I51" s="56">
        <f>ROUND((G51*E51),2)</f>
        <v>0</v>
      </c>
    </row>
    <row r="52" spans="1:9" ht="30.75" thickBot="1" x14ac:dyDescent="0.3">
      <c r="A52" s="15" t="s">
        <v>71</v>
      </c>
      <c r="B52" s="20">
        <v>100761</v>
      </c>
      <c r="C52" s="16" t="s">
        <v>130</v>
      </c>
      <c r="D52" s="15" t="s">
        <v>11</v>
      </c>
      <c r="E52" s="17">
        <v>0</v>
      </c>
      <c r="F52" s="25">
        <f>TRUNC(36.39,2)</f>
        <v>36.39</v>
      </c>
      <c r="G52" s="19">
        <f t="shared" si="9"/>
        <v>46.42</v>
      </c>
      <c r="H52" s="56">
        <f t="shared" si="8"/>
        <v>0</v>
      </c>
      <c r="I52" s="56">
        <f>ROUND((G52*E52),2)</f>
        <v>0</v>
      </c>
    </row>
    <row r="53" spans="1:9" ht="15.75" thickBot="1" x14ac:dyDescent="0.3">
      <c r="A53" s="129"/>
      <c r="B53" s="130"/>
      <c r="C53" s="130"/>
      <c r="D53" s="130"/>
      <c r="E53" s="130"/>
      <c r="F53" s="130"/>
      <c r="G53" s="130"/>
      <c r="H53" s="130"/>
      <c r="I53" s="131"/>
    </row>
    <row r="54" spans="1:9" ht="15.75" thickBot="1" x14ac:dyDescent="0.3">
      <c r="A54" s="13" t="s">
        <v>73</v>
      </c>
      <c r="B54" s="55"/>
      <c r="C54" s="22" t="s">
        <v>74</v>
      </c>
      <c r="D54" s="13"/>
      <c r="E54" s="23"/>
      <c r="F54" s="24"/>
      <c r="G54" s="14">
        <f>ROUND((SUM(G55:G73)),2)</f>
        <v>4667.33</v>
      </c>
      <c r="H54" s="14">
        <f>(SUM(H55:H73))</f>
        <v>4567.3099999999995</v>
      </c>
      <c r="I54" s="14">
        <f>(SUM(I55:I73))</f>
        <v>5825.6100000000015</v>
      </c>
    </row>
    <row r="55" spans="1:9" ht="15.75" thickBot="1" x14ac:dyDescent="0.3">
      <c r="A55" s="15" t="s">
        <v>75</v>
      </c>
      <c r="B55" s="20">
        <v>93358</v>
      </c>
      <c r="C55" s="16" t="s">
        <v>36</v>
      </c>
      <c r="D55" s="15" t="s">
        <v>37</v>
      </c>
      <c r="E55" s="17">
        <v>0.94</v>
      </c>
      <c r="F55" s="25">
        <f>TRUNC(61.43,2)</f>
        <v>61.43</v>
      </c>
      <c r="G55" s="19">
        <f>ROUND((F55+F55*$G$3),2)</f>
        <v>78.349999999999994</v>
      </c>
      <c r="H55" s="56">
        <f t="shared" ref="H55:H73" si="10">ROUND((F55*E55),2)</f>
        <v>57.74</v>
      </c>
      <c r="I55" s="56">
        <f t="shared" ref="I55:I61" si="11">ROUND((G55*E55),2)</f>
        <v>73.650000000000006</v>
      </c>
    </row>
    <row r="56" spans="1:9" ht="30.75" thickBot="1" x14ac:dyDescent="0.3">
      <c r="A56" s="15" t="s">
        <v>76</v>
      </c>
      <c r="B56" s="20">
        <v>101159</v>
      </c>
      <c r="C56" s="16" t="s">
        <v>180</v>
      </c>
      <c r="D56" s="15" t="s">
        <v>11</v>
      </c>
      <c r="E56" s="17">
        <v>5.65</v>
      </c>
      <c r="F56" s="25">
        <f>TRUNC(108.26,2)</f>
        <v>108.26</v>
      </c>
      <c r="G56" s="19">
        <f t="shared" ref="G56:G73" si="12">ROUND((F56+F56*$G$3),2)</f>
        <v>138.09</v>
      </c>
      <c r="H56" s="56">
        <f t="shared" si="10"/>
        <v>611.66999999999996</v>
      </c>
      <c r="I56" s="56">
        <f t="shared" si="11"/>
        <v>780.21</v>
      </c>
    </row>
    <row r="57" spans="1:9" ht="45.75" thickBot="1" x14ac:dyDescent="0.3">
      <c r="A57" s="15" t="s">
        <v>77</v>
      </c>
      <c r="B57" s="20">
        <v>87879</v>
      </c>
      <c r="C57" s="16" t="s">
        <v>39</v>
      </c>
      <c r="D57" s="15" t="s">
        <v>11</v>
      </c>
      <c r="E57" s="17">
        <v>4.6500000000000004</v>
      </c>
      <c r="F57" s="25">
        <f>TRUNC(3.45,2)</f>
        <v>3.45</v>
      </c>
      <c r="G57" s="19">
        <f t="shared" si="12"/>
        <v>4.4000000000000004</v>
      </c>
      <c r="H57" s="56">
        <f t="shared" si="10"/>
        <v>16.04</v>
      </c>
      <c r="I57" s="56">
        <f t="shared" si="11"/>
        <v>20.46</v>
      </c>
    </row>
    <row r="58" spans="1:9" ht="60.75" thickBot="1" x14ac:dyDescent="0.3">
      <c r="A58" s="15" t="s">
        <v>78</v>
      </c>
      <c r="B58" s="20">
        <v>87529</v>
      </c>
      <c r="C58" s="16" t="s">
        <v>40</v>
      </c>
      <c r="D58" s="15" t="s">
        <v>11</v>
      </c>
      <c r="E58" s="17">
        <v>5.65</v>
      </c>
      <c r="F58" s="25">
        <f>TRUNC(29.81,2)</f>
        <v>29.81</v>
      </c>
      <c r="G58" s="19">
        <f t="shared" si="12"/>
        <v>38.020000000000003</v>
      </c>
      <c r="H58" s="56">
        <f t="shared" si="10"/>
        <v>168.43</v>
      </c>
      <c r="I58" s="56">
        <f t="shared" si="11"/>
        <v>214.81</v>
      </c>
    </row>
    <row r="59" spans="1:9" ht="30.75" thickBot="1" x14ac:dyDescent="0.3">
      <c r="A59" s="15" t="s">
        <v>79</v>
      </c>
      <c r="B59" s="20">
        <v>88489</v>
      </c>
      <c r="C59" s="16" t="s">
        <v>333</v>
      </c>
      <c r="D59" s="15" t="s">
        <v>11</v>
      </c>
      <c r="E59" s="17">
        <v>5.65</v>
      </c>
      <c r="F59" s="25">
        <f>TRUNC(12.94,2)</f>
        <v>12.94</v>
      </c>
      <c r="G59" s="19">
        <f t="shared" si="12"/>
        <v>16.5</v>
      </c>
      <c r="H59" s="56">
        <f t="shared" si="10"/>
        <v>73.11</v>
      </c>
      <c r="I59" s="56">
        <f t="shared" si="11"/>
        <v>93.23</v>
      </c>
    </row>
    <row r="60" spans="1:9" ht="30.75" thickBot="1" x14ac:dyDescent="0.3">
      <c r="A60" s="15" t="s">
        <v>80</v>
      </c>
      <c r="B60" s="20">
        <v>96622</v>
      </c>
      <c r="C60" s="16" t="s">
        <v>332</v>
      </c>
      <c r="D60" s="15" t="s">
        <v>37</v>
      </c>
      <c r="E60" s="17">
        <v>1.33</v>
      </c>
      <c r="F60" s="25">
        <f>TRUNC(148.85,2)</f>
        <v>148.85</v>
      </c>
      <c r="G60" s="19">
        <f t="shared" si="12"/>
        <v>189.86</v>
      </c>
      <c r="H60" s="56">
        <f t="shared" si="10"/>
        <v>197.97</v>
      </c>
      <c r="I60" s="56">
        <f t="shared" si="11"/>
        <v>252.51</v>
      </c>
    </row>
    <row r="61" spans="1:9" ht="30.75" thickBot="1" x14ac:dyDescent="0.3">
      <c r="A61" s="15" t="s">
        <v>81</v>
      </c>
      <c r="B61" s="20" t="s">
        <v>82</v>
      </c>
      <c r="C61" s="16" t="s">
        <v>83</v>
      </c>
      <c r="D61" s="15" t="s">
        <v>18</v>
      </c>
      <c r="E61" s="17">
        <v>1</v>
      </c>
      <c r="F61" s="25">
        <f>TRUNC(2952.61,2)</f>
        <v>2952.61</v>
      </c>
      <c r="G61" s="19">
        <f t="shared" si="12"/>
        <v>3766.05</v>
      </c>
      <c r="H61" s="56">
        <f t="shared" si="10"/>
        <v>2952.61</v>
      </c>
      <c r="I61" s="56">
        <f t="shared" si="11"/>
        <v>3766.05</v>
      </c>
    </row>
    <row r="62" spans="1:9" ht="15.75" thickBot="1" x14ac:dyDescent="0.3">
      <c r="A62" s="15" t="s">
        <v>84</v>
      </c>
      <c r="B62" s="20"/>
      <c r="C62" s="16" t="s">
        <v>85</v>
      </c>
      <c r="D62" s="15"/>
      <c r="E62" s="17"/>
      <c r="F62" s="18"/>
      <c r="G62" s="19">
        <f t="shared" si="12"/>
        <v>0</v>
      </c>
      <c r="H62" s="56">
        <f t="shared" si="10"/>
        <v>0</v>
      </c>
      <c r="I62" s="56"/>
    </row>
    <row r="63" spans="1:9" ht="15.75" thickBot="1" x14ac:dyDescent="0.3">
      <c r="A63" s="15" t="s">
        <v>86</v>
      </c>
      <c r="B63" s="20">
        <v>93358</v>
      </c>
      <c r="C63" s="16" t="s">
        <v>36</v>
      </c>
      <c r="D63" s="15" t="s">
        <v>37</v>
      </c>
      <c r="E63" s="17">
        <v>0.08</v>
      </c>
      <c r="F63" s="25">
        <f>TRUNC(61.43,2)</f>
        <v>61.43</v>
      </c>
      <c r="G63" s="19">
        <f t="shared" si="12"/>
        <v>78.349999999999994</v>
      </c>
      <c r="H63" s="56">
        <f t="shared" si="10"/>
        <v>4.91</v>
      </c>
      <c r="I63" s="56">
        <f t="shared" ref="I63:I73" si="13">ROUND((G63*E63),2)</f>
        <v>6.27</v>
      </c>
    </row>
    <row r="64" spans="1:9" ht="30.75" thickBot="1" x14ac:dyDescent="0.3">
      <c r="A64" s="15" t="s">
        <v>87</v>
      </c>
      <c r="B64" s="20">
        <v>101159</v>
      </c>
      <c r="C64" s="16" t="s">
        <v>180</v>
      </c>
      <c r="D64" s="15" t="s">
        <v>11</v>
      </c>
      <c r="E64" s="17">
        <v>0.24</v>
      </c>
      <c r="F64" s="25">
        <f>TRUNC(108.26,2)</f>
        <v>108.26</v>
      </c>
      <c r="G64" s="19">
        <f t="shared" si="12"/>
        <v>138.09</v>
      </c>
      <c r="H64" s="56">
        <f t="shared" si="10"/>
        <v>25.98</v>
      </c>
      <c r="I64" s="56">
        <f t="shared" si="13"/>
        <v>33.14</v>
      </c>
    </row>
    <row r="65" spans="1:9" ht="60.75" thickBot="1" x14ac:dyDescent="0.3">
      <c r="A65" s="15" t="s">
        <v>88</v>
      </c>
      <c r="B65" s="20">
        <v>103357</v>
      </c>
      <c r="C65" s="16" t="s">
        <v>38</v>
      </c>
      <c r="D65" s="15" t="s">
        <v>11</v>
      </c>
      <c r="E65" s="17">
        <f>0.96+1.68</f>
        <v>2.6399999999999997</v>
      </c>
      <c r="F65" s="25">
        <f>TRUNC(44.1,2)</f>
        <v>44.1</v>
      </c>
      <c r="G65" s="19">
        <f t="shared" si="12"/>
        <v>56.25</v>
      </c>
      <c r="H65" s="56">
        <f t="shared" si="10"/>
        <v>116.42</v>
      </c>
      <c r="I65" s="56">
        <f t="shared" si="13"/>
        <v>148.5</v>
      </c>
    </row>
    <row r="66" spans="1:9" ht="45.75" thickBot="1" x14ac:dyDescent="0.3">
      <c r="A66" s="15" t="s">
        <v>89</v>
      </c>
      <c r="B66" s="20">
        <v>87879</v>
      </c>
      <c r="C66" s="16" t="s">
        <v>39</v>
      </c>
      <c r="D66" s="15" t="s">
        <v>11</v>
      </c>
      <c r="E66" s="17">
        <v>2.34</v>
      </c>
      <c r="F66" s="18">
        <f>TRUNC(3.45,2)</f>
        <v>3.45</v>
      </c>
      <c r="G66" s="19">
        <f t="shared" si="12"/>
        <v>4.4000000000000004</v>
      </c>
      <c r="H66" s="56">
        <f t="shared" si="10"/>
        <v>8.07</v>
      </c>
      <c r="I66" s="56">
        <f t="shared" si="13"/>
        <v>10.3</v>
      </c>
    </row>
    <row r="67" spans="1:9" ht="60.75" thickBot="1" x14ac:dyDescent="0.3">
      <c r="A67" s="15" t="s">
        <v>90</v>
      </c>
      <c r="B67" s="20">
        <v>87529</v>
      </c>
      <c r="C67" s="16" t="s">
        <v>40</v>
      </c>
      <c r="D67" s="15" t="s">
        <v>11</v>
      </c>
      <c r="E67" s="17">
        <v>2.34</v>
      </c>
      <c r="F67" s="25">
        <f>TRUNC(29.81,2)</f>
        <v>29.81</v>
      </c>
      <c r="G67" s="19">
        <f t="shared" si="12"/>
        <v>38.020000000000003</v>
      </c>
      <c r="H67" s="56">
        <f t="shared" si="10"/>
        <v>69.760000000000005</v>
      </c>
      <c r="I67" s="56">
        <f t="shared" si="13"/>
        <v>88.97</v>
      </c>
    </row>
    <row r="68" spans="1:9" ht="30.75" thickBot="1" x14ac:dyDescent="0.3">
      <c r="A68" s="15" t="s">
        <v>91</v>
      </c>
      <c r="B68" s="20">
        <v>88489</v>
      </c>
      <c r="C68" s="16" t="s">
        <v>333</v>
      </c>
      <c r="D68" s="15" t="s">
        <v>11</v>
      </c>
      <c r="E68" s="17">
        <v>2.34</v>
      </c>
      <c r="F68" s="18">
        <f>TRUNC(12.94,2)</f>
        <v>12.94</v>
      </c>
      <c r="G68" s="19">
        <f t="shared" si="12"/>
        <v>16.5</v>
      </c>
      <c r="H68" s="56">
        <f t="shared" si="10"/>
        <v>30.28</v>
      </c>
      <c r="I68" s="56">
        <f t="shared" si="13"/>
        <v>38.61</v>
      </c>
    </row>
    <row r="69" spans="1:9" ht="30.75" thickBot="1" x14ac:dyDescent="0.3">
      <c r="A69" s="15" t="s">
        <v>92</v>
      </c>
      <c r="B69" s="20" t="s">
        <v>132</v>
      </c>
      <c r="C69" s="16" t="s">
        <v>97</v>
      </c>
      <c r="D69" s="15" t="s">
        <v>15</v>
      </c>
      <c r="E69" s="17">
        <v>4.08</v>
      </c>
      <c r="F69" s="18">
        <f>TRUNC(19.73,2)</f>
        <v>19.73</v>
      </c>
      <c r="G69" s="19">
        <f t="shared" si="12"/>
        <v>25.17</v>
      </c>
      <c r="H69" s="56">
        <f t="shared" si="10"/>
        <v>80.5</v>
      </c>
      <c r="I69" s="56">
        <f t="shared" si="13"/>
        <v>102.69</v>
      </c>
    </row>
    <row r="70" spans="1:9" ht="30.75" thickBot="1" x14ac:dyDescent="0.3">
      <c r="A70" s="15" t="s">
        <v>93</v>
      </c>
      <c r="B70" s="20">
        <v>89355</v>
      </c>
      <c r="C70" s="16" t="s">
        <v>98</v>
      </c>
      <c r="D70" s="15" t="s">
        <v>15</v>
      </c>
      <c r="E70" s="17">
        <v>4</v>
      </c>
      <c r="F70" s="18">
        <f>TRUNC(15.39,2)</f>
        <v>15.39</v>
      </c>
      <c r="G70" s="19">
        <f t="shared" si="12"/>
        <v>19.63</v>
      </c>
      <c r="H70" s="56">
        <f t="shared" si="10"/>
        <v>61.56</v>
      </c>
      <c r="I70" s="56">
        <f t="shared" si="13"/>
        <v>78.52</v>
      </c>
    </row>
    <row r="71" spans="1:9" ht="15.75" thickBot="1" x14ac:dyDescent="0.3">
      <c r="A71" s="15" t="s">
        <v>94</v>
      </c>
      <c r="B71" s="20" t="s">
        <v>99</v>
      </c>
      <c r="C71" s="16" t="s">
        <v>100</v>
      </c>
      <c r="D71" s="15" t="s">
        <v>18</v>
      </c>
      <c r="E71" s="17">
        <v>1</v>
      </c>
      <c r="F71" s="18">
        <f>TRUNC(5.77,2)</f>
        <v>5.77</v>
      </c>
      <c r="G71" s="19">
        <f t="shared" si="12"/>
        <v>7.36</v>
      </c>
      <c r="H71" s="56">
        <f t="shared" si="10"/>
        <v>5.77</v>
      </c>
      <c r="I71" s="56">
        <f t="shared" si="13"/>
        <v>7.36</v>
      </c>
    </row>
    <row r="72" spans="1:9" ht="15.75" thickBot="1" x14ac:dyDescent="0.3">
      <c r="A72" s="15" t="s">
        <v>95</v>
      </c>
      <c r="B72" s="20">
        <v>86916</v>
      </c>
      <c r="C72" s="16" t="s">
        <v>101</v>
      </c>
      <c r="D72" s="15" t="s">
        <v>18</v>
      </c>
      <c r="E72" s="17">
        <v>3</v>
      </c>
      <c r="F72" s="18">
        <f>TRUNC(22.75,2)</f>
        <v>22.75</v>
      </c>
      <c r="G72" s="19">
        <f t="shared" si="12"/>
        <v>29.02</v>
      </c>
      <c r="H72" s="56">
        <f t="shared" si="10"/>
        <v>68.25</v>
      </c>
      <c r="I72" s="56">
        <f t="shared" si="13"/>
        <v>87.06</v>
      </c>
    </row>
    <row r="73" spans="1:9" ht="30.75" thickBot="1" x14ac:dyDescent="0.3">
      <c r="A73" s="15" t="s">
        <v>96</v>
      </c>
      <c r="B73" s="20">
        <v>94489</v>
      </c>
      <c r="C73" s="16" t="s">
        <v>102</v>
      </c>
      <c r="D73" s="15" t="s">
        <v>18</v>
      </c>
      <c r="E73" s="17">
        <v>1</v>
      </c>
      <c r="F73" s="18">
        <f>TRUNC(18.24,2)</f>
        <v>18.239999999999998</v>
      </c>
      <c r="G73" s="19">
        <f t="shared" si="12"/>
        <v>23.27</v>
      </c>
      <c r="H73" s="56">
        <f t="shared" si="10"/>
        <v>18.239999999999998</v>
      </c>
      <c r="I73" s="56">
        <f t="shared" si="13"/>
        <v>23.27</v>
      </c>
    </row>
    <row r="74" spans="1:9" ht="15.75" thickBot="1" x14ac:dyDescent="0.3">
      <c r="A74" s="129"/>
      <c r="B74" s="130"/>
      <c r="C74" s="130"/>
      <c r="D74" s="130"/>
      <c r="E74" s="130"/>
      <c r="F74" s="130"/>
      <c r="G74" s="130"/>
      <c r="H74" s="130"/>
      <c r="I74" s="131"/>
    </row>
    <row r="75" spans="1:9" ht="15.75" thickBot="1" x14ac:dyDescent="0.3">
      <c r="A75" s="13" t="s">
        <v>103</v>
      </c>
      <c r="B75" s="55"/>
      <c r="C75" s="22" t="s">
        <v>104</v>
      </c>
      <c r="D75" s="13"/>
      <c r="E75" s="23"/>
      <c r="F75" s="24"/>
      <c r="G75" s="14">
        <f>ROUND((SUM(G76:G76)),2)</f>
        <v>214.07</v>
      </c>
      <c r="H75" s="14">
        <f>SUM(H76:H76)</f>
        <v>167.83</v>
      </c>
      <c r="I75" s="14">
        <f>SUM(I76:I76)</f>
        <v>214.07</v>
      </c>
    </row>
    <row r="76" spans="1:9" ht="30.75" thickBot="1" x14ac:dyDescent="0.3">
      <c r="A76" s="15" t="s">
        <v>105</v>
      </c>
      <c r="B76" s="20">
        <v>97895</v>
      </c>
      <c r="C76" s="16" t="s">
        <v>359</v>
      </c>
      <c r="D76" s="15" t="s">
        <v>18</v>
      </c>
      <c r="E76" s="17">
        <v>1</v>
      </c>
      <c r="F76" s="18">
        <f>TRUNC(167.83,2)</f>
        <v>167.83</v>
      </c>
      <c r="G76" s="19">
        <f>ROUND((F76+F76*$G$3),2)</f>
        <v>214.07</v>
      </c>
      <c r="H76" s="56">
        <f t="shared" ref="H76" si="14">ROUND((F76*E76),2)</f>
        <v>167.83</v>
      </c>
      <c r="I76" s="56">
        <f>ROUND((G76*E76),2)</f>
        <v>214.07</v>
      </c>
    </row>
    <row r="77" spans="1:9" ht="15.75" thickBot="1" x14ac:dyDescent="0.3">
      <c r="A77" s="129"/>
      <c r="B77" s="130"/>
      <c r="C77" s="130"/>
      <c r="D77" s="130"/>
      <c r="E77" s="130"/>
      <c r="F77" s="130"/>
      <c r="G77" s="130"/>
      <c r="H77" s="130"/>
      <c r="I77" s="131"/>
    </row>
    <row r="78" spans="1:9" ht="15.75" thickBot="1" x14ac:dyDescent="0.3">
      <c r="A78" s="13" t="s">
        <v>106</v>
      </c>
      <c r="B78" s="55"/>
      <c r="C78" s="128" t="s">
        <v>107</v>
      </c>
      <c r="D78" s="128"/>
      <c r="E78" s="128"/>
      <c r="F78" s="128"/>
      <c r="G78" s="14">
        <f>ROUND((SUM(G80:G88)),2)</f>
        <v>422.53</v>
      </c>
      <c r="H78" s="14">
        <f>SUM(H80:H88)</f>
        <v>369.71000000000004</v>
      </c>
      <c r="I78" s="14">
        <f>SUM(I80:I88)</f>
        <v>471.55999999999995</v>
      </c>
    </row>
    <row r="79" spans="1:9" ht="15.75" thickBot="1" x14ac:dyDescent="0.3">
      <c r="A79" s="129"/>
      <c r="B79" s="130"/>
      <c r="C79" s="130"/>
      <c r="D79" s="130"/>
      <c r="E79" s="130"/>
      <c r="F79" s="130"/>
      <c r="G79" s="130"/>
      <c r="H79" s="130"/>
      <c r="I79" s="131"/>
    </row>
    <row r="80" spans="1:9" ht="15.75" thickBot="1" x14ac:dyDescent="0.3">
      <c r="A80" s="15" t="s">
        <v>108</v>
      </c>
      <c r="B80" s="20">
        <v>99063</v>
      </c>
      <c r="C80" s="16" t="s">
        <v>117</v>
      </c>
      <c r="D80" s="15" t="s">
        <v>15</v>
      </c>
      <c r="E80" s="17">
        <f>E85</f>
        <v>8</v>
      </c>
      <c r="F80" s="18">
        <f>TRUNC(4.18,2)</f>
        <v>4.18</v>
      </c>
      <c r="G80" s="19">
        <f>ROUND((F80+F80*$G$3),2)</f>
        <v>5.33</v>
      </c>
      <c r="H80" s="56">
        <f t="shared" ref="H80:H88" si="15">ROUND((F80*E80),2)</f>
        <v>33.44</v>
      </c>
      <c r="I80" s="56">
        <f t="shared" ref="I80:I88" si="16">ROUND((G80*E80),2)</f>
        <v>42.64</v>
      </c>
    </row>
    <row r="81" spans="1:9" ht="75.75" thickBot="1" x14ac:dyDescent="0.3">
      <c r="A81" s="15" t="s">
        <v>109</v>
      </c>
      <c r="B81" s="20">
        <v>90105</v>
      </c>
      <c r="C81" s="16" t="s">
        <v>118</v>
      </c>
      <c r="D81" s="15" t="s">
        <v>37</v>
      </c>
      <c r="E81" s="17">
        <f>E85*0.5*0.55</f>
        <v>2.2000000000000002</v>
      </c>
      <c r="F81" s="25">
        <f>TRUNC(7.49,2)</f>
        <v>7.49</v>
      </c>
      <c r="G81" s="19">
        <f t="shared" ref="G81:G88" si="17">ROUND((F81+F81*$G$3),2)</f>
        <v>9.5500000000000007</v>
      </c>
      <c r="H81" s="56">
        <f t="shared" si="15"/>
        <v>16.48</v>
      </c>
      <c r="I81" s="56">
        <f t="shared" si="16"/>
        <v>21.01</v>
      </c>
    </row>
    <row r="82" spans="1:9" ht="45.75" thickBot="1" x14ac:dyDescent="0.3">
      <c r="A82" s="15" t="s">
        <v>110</v>
      </c>
      <c r="B82" s="54">
        <v>102311</v>
      </c>
      <c r="C82" s="16" t="s">
        <v>119</v>
      </c>
      <c r="D82" s="15" t="s">
        <v>37</v>
      </c>
      <c r="E82" s="17">
        <f>E85*0.5*0.25</f>
        <v>1</v>
      </c>
      <c r="F82" s="25">
        <f>TRUNC(11.39,2)</f>
        <v>11.39</v>
      </c>
      <c r="G82" s="19">
        <f t="shared" si="17"/>
        <v>14.53</v>
      </c>
      <c r="H82" s="56">
        <f t="shared" si="15"/>
        <v>11.39</v>
      </c>
      <c r="I82" s="56">
        <f t="shared" si="16"/>
        <v>14.53</v>
      </c>
    </row>
    <row r="83" spans="1:9" ht="15.75" thickBot="1" x14ac:dyDescent="0.3">
      <c r="A83" s="15" t="s">
        <v>111</v>
      </c>
      <c r="B83" s="20" t="s">
        <v>120</v>
      </c>
      <c r="C83" s="16" t="s">
        <v>131</v>
      </c>
      <c r="D83" s="15" t="s">
        <v>37</v>
      </c>
      <c r="E83" s="17">
        <f>E85*0.5*0.1</f>
        <v>0.4</v>
      </c>
      <c r="F83" s="25">
        <f>TRUNC(128.9,2)</f>
        <v>128.9</v>
      </c>
      <c r="G83" s="19">
        <f t="shared" si="17"/>
        <v>164.41</v>
      </c>
      <c r="H83" s="56">
        <f t="shared" si="15"/>
        <v>51.56</v>
      </c>
      <c r="I83" s="56">
        <f t="shared" si="16"/>
        <v>65.760000000000005</v>
      </c>
    </row>
    <row r="84" spans="1:9" ht="60.75" thickBot="1" x14ac:dyDescent="0.3">
      <c r="A84" s="15" t="s">
        <v>112</v>
      </c>
      <c r="B84" s="20">
        <v>93378</v>
      </c>
      <c r="C84" s="16" t="s">
        <v>121</v>
      </c>
      <c r="D84" s="15" t="s">
        <v>37</v>
      </c>
      <c r="E84" s="17">
        <f>E85*0.5*0.7</f>
        <v>2.8</v>
      </c>
      <c r="F84" s="25">
        <f>TRUNC(19.97,2)</f>
        <v>19.97</v>
      </c>
      <c r="G84" s="19">
        <f t="shared" si="17"/>
        <v>25.47</v>
      </c>
      <c r="H84" s="56">
        <f t="shared" si="15"/>
        <v>55.92</v>
      </c>
      <c r="I84" s="56">
        <f t="shared" si="16"/>
        <v>71.319999999999993</v>
      </c>
    </row>
    <row r="85" spans="1:9" ht="30.75" thickBot="1" x14ac:dyDescent="0.3">
      <c r="A85" s="15" t="s">
        <v>113</v>
      </c>
      <c r="B85" s="20">
        <v>89446</v>
      </c>
      <c r="C85" s="16" t="s">
        <v>122</v>
      </c>
      <c r="D85" s="15" t="s">
        <v>15</v>
      </c>
      <c r="E85" s="17">
        <v>8</v>
      </c>
      <c r="F85" s="21">
        <f>TRUNC(5.94,2)</f>
        <v>5.94</v>
      </c>
      <c r="G85" s="19">
        <f t="shared" si="17"/>
        <v>7.58</v>
      </c>
      <c r="H85" s="56">
        <f t="shared" si="15"/>
        <v>47.52</v>
      </c>
      <c r="I85" s="56">
        <f t="shared" si="16"/>
        <v>60.64</v>
      </c>
    </row>
    <row r="86" spans="1:9" ht="15.75" thickBot="1" x14ac:dyDescent="0.3">
      <c r="A86" s="15" t="s">
        <v>114</v>
      </c>
      <c r="B86" s="20" t="s">
        <v>123</v>
      </c>
      <c r="C86" s="16" t="s">
        <v>124</v>
      </c>
      <c r="D86" s="15" t="s">
        <v>18</v>
      </c>
      <c r="E86" s="17">
        <v>1</v>
      </c>
      <c r="F86" s="18">
        <f>TRUNC(4.18,)</f>
        <v>4</v>
      </c>
      <c r="G86" s="19">
        <f t="shared" si="17"/>
        <v>5.0999999999999996</v>
      </c>
      <c r="H86" s="56">
        <f t="shared" si="15"/>
        <v>4</v>
      </c>
      <c r="I86" s="56">
        <f t="shared" si="16"/>
        <v>5.0999999999999996</v>
      </c>
    </row>
    <row r="87" spans="1:9" ht="15.75" thickBot="1" x14ac:dyDescent="0.3">
      <c r="A87" s="15" t="s">
        <v>115</v>
      </c>
      <c r="B87" s="20" t="s">
        <v>125</v>
      </c>
      <c r="C87" s="16" t="s">
        <v>126</v>
      </c>
      <c r="D87" s="15" t="s">
        <v>18</v>
      </c>
      <c r="E87" s="17">
        <v>1</v>
      </c>
      <c r="F87" s="18">
        <f>TRUNC(36.48,2)</f>
        <v>36.479999999999997</v>
      </c>
      <c r="G87" s="19">
        <f t="shared" si="17"/>
        <v>46.53</v>
      </c>
      <c r="H87" s="56">
        <f t="shared" si="15"/>
        <v>36.479999999999997</v>
      </c>
      <c r="I87" s="56">
        <f t="shared" si="16"/>
        <v>46.53</v>
      </c>
    </row>
    <row r="88" spans="1:9" ht="30.75" thickBot="1" x14ac:dyDescent="0.3">
      <c r="A88" s="15" t="s">
        <v>116</v>
      </c>
      <c r="B88" s="20" t="s">
        <v>127</v>
      </c>
      <c r="C88" s="16" t="s">
        <v>128</v>
      </c>
      <c r="D88" s="15" t="s">
        <v>18</v>
      </c>
      <c r="E88" s="17">
        <v>1</v>
      </c>
      <c r="F88" s="18">
        <f>TRUNC(112.92,2)</f>
        <v>112.92</v>
      </c>
      <c r="G88" s="19">
        <f t="shared" si="17"/>
        <v>144.03</v>
      </c>
      <c r="H88" s="56">
        <f t="shared" si="15"/>
        <v>112.92</v>
      </c>
      <c r="I88" s="56">
        <f t="shared" si="16"/>
        <v>144.03</v>
      </c>
    </row>
    <row r="89" spans="1:9" ht="15.75" thickBot="1" x14ac:dyDescent="0.3">
      <c r="A89" s="129"/>
      <c r="B89" s="130"/>
      <c r="C89" s="130"/>
      <c r="D89" s="130"/>
      <c r="E89" s="130"/>
      <c r="F89" s="130"/>
      <c r="G89" s="130"/>
      <c r="H89" s="130"/>
      <c r="I89" s="131"/>
    </row>
    <row r="90" spans="1:9" s="1" customFormat="1" ht="15.75" thickBot="1" x14ac:dyDescent="0.3">
      <c r="A90" s="125" t="s">
        <v>129</v>
      </c>
      <c r="B90" s="126"/>
      <c r="C90" s="126"/>
      <c r="D90" s="126"/>
      <c r="E90" s="126"/>
      <c r="F90" s="126"/>
      <c r="G90" s="127"/>
      <c r="H90" s="14">
        <f>ROUND((SUM(H78,H45,H12,H7)),2)</f>
        <v>38635.83</v>
      </c>
      <c r="I90" s="14">
        <f>ROUND((SUM(I78,I45,I12,I7)),2)</f>
        <v>49279.839999999997</v>
      </c>
    </row>
  </sheetData>
  <mergeCells count="21">
    <mergeCell ref="A79:I79"/>
    <mergeCell ref="A89:I89"/>
    <mergeCell ref="A90:G90"/>
    <mergeCell ref="C45:F45"/>
    <mergeCell ref="A46:I46"/>
    <mergeCell ref="A53:I53"/>
    <mergeCell ref="A74:I74"/>
    <mergeCell ref="A77:I77"/>
    <mergeCell ref="C78:F78"/>
    <mergeCell ref="A44:I44"/>
    <mergeCell ref="A1:I2"/>
    <mergeCell ref="A3:E3"/>
    <mergeCell ref="G3:I3"/>
    <mergeCell ref="A4:I4"/>
    <mergeCell ref="A6:I6"/>
    <mergeCell ref="C7:F7"/>
    <mergeCell ref="A8:I8"/>
    <mergeCell ref="A11:I11"/>
    <mergeCell ref="C12:F12"/>
    <mergeCell ref="A13:I13"/>
    <mergeCell ref="A25:I2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B228-F65A-4333-94BF-D52CEE752F79}">
  <sheetPr>
    <pageSetUpPr fitToPage="1"/>
  </sheetPr>
  <dimension ref="A1:C39"/>
  <sheetViews>
    <sheetView topLeftCell="A4" workbookViewId="0">
      <selection activeCell="F19" sqref="F19"/>
    </sheetView>
  </sheetViews>
  <sheetFormatPr defaultRowHeight="15" x14ac:dyDescent="0.25"/>
  <cols>
    <col min="1" max="1" width="82.42578125" bestFit="1" customWidth="1"/>
    <col min="2" max="2" width="27.42578125" style="8" bestFit="1" customWidth="1"/>
    <col min="3" max="3" width="20.7109375" style="8" bestFit="1" customWidth="1"/>
  </cols>
  <sheetData>
    <row r="1" spans="1:3" ht="48" customHeight="1" x14ac:dyDescent="0.25">
      <c r="A1" s="151" t="s">
        <v>354</v>
      </c>
      <c r="B1" s="152"/>
      <c r="C1" s="152"/>
    </row>
    <row r="2" spans="1:3" ht="50.25" customHeight="1" x14ac:dyDescent="0.25">
      <c r="A2" s="152"/>
      <c r="B2" s="152"/>
      <c r="C2" s="152"/>
    </row>
    <row r="3" spans="1:3" x14ac:dyDescent="0.25">
      <c r="A3" s="153"/>
      <c r="B3" s="153"/>
      <c r="C3" s="153"/>
    </row>
    <row r="4" spans="1:3" ht="18.75" x14ac:dyDescent="0.3">
      <c r="A4" s="152" t="s">
        <v>353</v>
      </c>
      <c r="B4" s="152"/>
      <c r="C4" s="152"/>
    </row>
    <row r="5" spans="1:3" x14ac:dyDescent="0.25">
      <c r="A5" s="153"/>
      <c r="B5" s="153"/>
      <c r="C5" s="153"/>
    </row>
    <row r="6" spans="1:3" x14ac:dyDescent="0.25">
      <c r="A6" s="37" t="s">
        <v>298</v>
      </c>
      <c r="B6" s="38"/>
      <c r="C6" s="38"/>
    </row>
    <row r="7" spans="1:3" x14ac:dyDescent="0.25">
      <c r="A7" s="37" t="s">
        <v>299</v>
      </c>
      <c r="B7" s="38"/>
      <c r="C7" s="38"/>
    </row>
    <row r="8" spans="1:3" x14ac:dyDescent="0.25">
      <c r="A8" s="37" t="s">
        <v>300</v>
      </c>
      <c r="B8" s="38"/>
      <c r="C8" s="38"/>
    </row>
    <row r="9" spans="1:3" x14ac:dyDescent="0.25">
      <c r="A9" s="37" t="s">
        <v>301</v>
      </c>
      <c r="B9" s="147">
        <f>RESUMO!C17</f>
        <v>201070.9</v>
      </c>
      <c r="C9" s="147"/>
    </row>
    <row r="10" spans="1:3" x14ac:dyDescent="0.25">
      <c r="A10" s="37" t="s">
        <v>302</v>
      </c>
      <c r="B10" s="85"/>
      <c r="C10" s="85"/>
    </row>
    <row r="11" spans="1:3" x14ac:dyDescent="0.25">
      <c r="A11" s="83" t="s">
        <v>303</v>
      </c>
      <c r="B11" s="146" t="s">
        <v>315</v>
      </c>
      <c r="C11" s="146"/>
    </row>
    <row r="12" spans="1:3" x14ac:dyDescent="0.25">
      <c r="A12" s="83" t="s">
        <v>304</v>
      </c>
      <c r="B12" s="146">
        <v>3.4299999999999997E-2</v>
      </c>
      <c r="C12" s="146"/>
    </row>
    <row r="13" spans="1:3" x14ac:dyDescent="0.25">
      <c r="A13" s="83" t="s">
        <v>305</v>
      </c>
      <c r="B13" s="146">
        <v>0.01</v>
      </c>
      <c r="C13" s="146"/>
    </row>
    <row r="14" spans="1:3" x14ac:dyDescent="0.25">
      <c r="A14" s="83" t="s">
        <v>306</v>
      </c>
      <c r="B14" s="146">
        <v>9.4000000000000004E-3</v>
      </c>
      <c r="C14" s="146"/>
    </row>
    <row r="15" spans="1:3" x14ac:dyDescent="0.25">
      <c r="A15" s="84" t="s">
        <v>307</v>
      </c>
      <c r="B15" s="146"/>
      <c r="C15" s="146"/>
    </row>
    <row r="16" spans="1:3" x14ac:dyDescent="0.25">
      <c r="A16" s="83" t="s">
        <v>303</v>
      </c>
      <c r="B16" s="146" t="s">
        <v>315</v>
      </c>
      <c r="C16" s="146"/>
    </row>
    <row r="17" spans="1:3" x14ac:dyDescent="0.25">
      <c r="A17" s="83" t="s">
        <v>308</v>
      </c>
      <c r="B17" s="146">
        <f>SUM(B18,B19,B20,B22)</f>
        <v>0.10649999999999998</v>
      </c>
      <c r="C17" s="146"/>
    </row>
    <row r="18" spans="1:3" x14ac:dyDescent="0.25">
      <c r="A18" s="83" t="s">
        <v>309</v>
      </c>
      <c r="B18" s="146">
        <v>6.4999999999999997E-3</v>
      </c>
      <c r="C18" s="146"/>
    </row>
    <row r="19" spans="1:3" x14ac:dyDescent="0.25">
      <c r="A19" s="83" t="s">
        <v>310</v>
      </c>
      <c r="B19" s="146">
        <v>0.03</v>
      </c>
      <c r="C19" s="146"/>
    </row>
    <row r="20" spans="1:3" x14ac:dyDescent="0.25">
      <c r="A20" s="83" t="s">
        <v>311</v>
      </c>
      <c r="B20" s="146">
        <v>4.4999999999999998E-2</v>
      </c>
      <c r="C20" s="146"/>
    </row>
    <row r="21" spans="1:3" x14ac:dyDescent="0.25">
      <c r="A21" s="83" t="s">
        <v>312</v>
      </c>
      <c r="B21" s="146" t="s">
        <v>372</v>
      </c>
      <c r="C21" s="146"/>
    </row>
    <row r="22" spans="1:3" x14ac:dyDescent="0.25">
      <c r="A22" s="83" t="s">
        <v>313</v>
      </c>
      <c r="B22" s="146">
        <v>2.5000000000000001E-2</v>
      </c>
      <c r="C22" s="146"/>
    </row>
    <row r="23" spans="1:3" x14ac:dyDescent="0.25">
      <c r="A23" s="83" t="s">
        <v>314</v>
      </c>
      <c r="B23" s="146">
        <v>6.7400000000000002E-2</v>
      </c>
      <c r="C23" s="146"/>
    </row>
    <row r="24" spans="1:3" x14ac:dyDescent="0.25">
      <c r="A24" s="39"/>
      <c r="B24" s="86"/>
      <c r="C24" s="86"/>
    </row>
    <row r="25" spans="1:3" x14ac:dyDescent="0.25">
      <c r="A25" s="39" t="s">
        <v>324</v>
      </c>
      <c r="B25" s="149" t="s">
        <v>316</v>
      </c>
      <c r="C25" s="149"/>
    </row>
    <row r="26" spans="1:3" x14ac:dyDescent="0.25">
      <c r="A26" s="150" t="s">
        <v>325</v>
      </c>
      <c r="B26" s="149" t="s">
        <v>317</v>
      </c>
      <c r="C26" s="149"/>
    </row>
    <row r="27" spans="1:3" x14ac:dyDescent="0.25">
      <c r="A27" s="150"/>
      <c r="B27" s="149" t="s">
        <v>318</v>
      </c>
      <c r="C27" s="149"/>
    </row>
    <row r="28" spans="1:3" x14ac:dyDescent="0.25">
      <c r="A28" s="150"/>
      <c r="B28" s="148" t="s">
        <v>319</v>
      </c>
      <c r="C28" s="148"/>
    </row>
    <row r="29" spans="1:3" x14ac:dyDescent="0.25">
      <c r="A29" s="150"/>
      <c r="B29" s="148" t="s">
        <v>320</v>
      </c>
      <c r="C29" s="148"/>
    </row>
    <row r="30" spans="1:3" x14ac:dyDescent="0.25">
      <c r="A30" s="150"/>
      <c r="B30" s="148" t="s">
        <v>321</v>
      </c>
      <c r="C30" s="148"/>
    </row>
    <row r="31" spans="1:3" x14ac:dyDescent="0.25">
      <c r="A31" s="150"/>
      <c r="B31" s="148" t="s">
        <v>322</v>
      </c>
      <c r="C31" s="148"/>
    </row>
    <row r="32" spans="1:3" x14ac:dyDescent="0.25">
      <c r="A32" s="150"/>
      <c r="B32" s="148" t="s">
        <v>323</v>
      </c>
      <c r="C32" s="148"/>
    </row>
    <row r="33" spans="1:3" x14ac:dyDescent="0.25">
      <c r="A33" s="39" t="s">
        <v>326</v>
      </c>
      <c r="B33" s="146">
        <f>ROUND((((1+B12+B14+B13)/(1-(B17+B23+0)))-1),4)</f>
        <v>0.27550000000000002</v>
      </c>
      <c r="C33" s="146"/>
    </row>
    <row r="34" spans="1:3" x14ac:dyDescent="0.25">
      <c r="A34" s="39" t="s">
        <v>327</v>
      </c>
      <c r="B34" s="147">
        <f>RESUMO!D17</f>
        <v>256464.29</v>
      </c>
      <c r="C34" s="147"/>
    </row>
    <row r="35" spans="1:3" x14ac:dyDescent="0.25">
      <c r="A35" s="39" t="s">
        <v>328</v>
      </c>
      <c r="B35" s="38"/>
      <c r="C35" s="38" t="s">
        <v>329</v>
      </c>
    </row>
    <row r="36" spans="1:3" x14ac:dyDescent="0.25">
      <c r="A36" s="39"/>
      <c r="B36" s="38"/>
      <c r="C36" s="38"/>
    </row>
    <row r="37" spans="1:3" x14ac:dyDescent="0.25">
      <c r="A37" s="39"/>
      <c r="B37" s="38"/>
      <c r="C37" s="38"/>
    </row>
    <row r="38" spans="1:3" ht="45.75" customHeight="1" x14ac:dyDescent="0.25">
      <c r="A38" s="145" t="s">
        <v>330</v>
      </c>
      <c r="B38" s="145"/>
      <c r="C38" s="145"/>
    </row>
    <row r="39" spans="1:3" ht="45.75" customHeight="1" x14ac:dyDescent="0.25">
      <c r="A39" s="145" t="s">
        <v>371</v>
      </c>
      <c r="B39" s="148"/>
      <c r="C39" s="148"/>
    </row>
  </sheetData>
  <mergeCells count="31">
    <mergeCell ref="A1:C2"/>
    <mergeCell ref="A4:C4"/>
    <mergeCell ref="A3:C3"/>
    <mergeCell ref="A5:C5"/>
    <mergeCell ref="B21:C21"/>
    <mergeCell ref="B9:C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5:C25"/>
    <mergeCell ref="A26:A32"/>
    <mergeCell ref="B22:C22"/>
    <mergeCell ref="B23:C23"/>
    <mergeCell ref="B26:C26"/>
    <mergeCell ref="B27:C27"/>
    <mergeCell ref="B29:C29"/>
    <mergeCell ref="B28:C28"/>
    <mergeCell ref="A38:C38"/>
    <mergeCell ref="B33:C33"/>
    <mergeCell ref="B34:C34"/>
    <mergeCell ref="A39:C39"/>
    <mergeCell ref="B30:C30"/>
    <mergeCell ref="B31:C31"/>
    <mergeCell ref="B32:C32"/>
  </mergeCells>
  <pageMargins left="0.511811024" right="0.511811024" top="0.78740157499999996" bottom="0.78740157499999996" header="0.31496062000000002" footer="0.31496062000000002"/>
  <pageSetup paperSize="9" scale="66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927D-F303-4AE5-8A62-45AD99539676}">
  <dimension ref="A1:G274"/>
  <sheetViews>
    <sheetView showGridLines="0" topLeftCell="A242" zoomScale="85" zoomScaleNormal="85" workbookViewId="0">
      <selection activeCell="I263" sqref="I263"/>
    </sheetView>
  </sheetViews>
  <sheetFormatPr defaultRowHeight="15" x14ac:dyDescent="0.25"/>
  <cols>
    <col min="1" max="1" width="9.140625" style="7"/>
    <col min="2" max="2" width="12.42578125" style="5" bestFit="1" customWidth="1"/>
    <col min="3" max="3" width="74.42578125" style="2" customWidth="1"/>
    <col min="4" max="4" width="8.5703125" bestFit="1" customWidth="1"/>
    <col min="5" max="5" width="11.42578125" style="4" bestFit="1" customWidth="1"/>
    <col min="6" max="6" width="13.42578125" style="3" customWidth="1"/>
    <col min="7" max="7" width="18.28515625" style="3" bestFit="1" customWidth="1"/>
  </cols>
  <sheetData>
    <row r="1" spans="1:7" ht="15.75" thickBot="1" x14ac:dyDescent="0.3">
      <c r="A1" s="154" t="s">
        <v>352</v>
      </c>
      <c r="B1" s="155"/>
      <c r="C1" s="155"/>
      <c r="D1" s="155"/>
      <c r="E1" s="155"/>
      <c r="F1" s="155"/>
      <c r="G1" s="155"/>
    </row>
    <row r="2" spans="1:7" ht="39" customHeight="1" thickBot="1" x14ac:dyDescent="0.3">
      <c r="A2" s="155"/>
      <c r="B2" s="155"/>
      <c r="C2" s="155"/>
      <c r="D2" s="155"/>
      <c r="E2" s="155"/>
      <c r="F2" s="155"/>
      <c r="G2" s="155"/>
    </row>
    <row r="3" spans="1:7" ht="46.5" customHeight="1" thickBot="1" x14ac:dyDescent="0.3">
      <c r="A3" s="155"/>
      <c r="B3" s="155"/>
      <c r="C3" s="155"/>
      <c r="D3" s="155"/>
      <c r="E3" s="155"/>
      <c r="F3" s="155"/>
      <c r="G3" s="155"/>
    </row>
    <row r="4" spans="1:7" ht="15.75" thickBot="1" x14ac:dyDescent="0.3">
      <c r="A4" s="155"/>
      <c r="B4" s="155"/>
      <c r="C4" s="155"/>
      <c r="D4" s="155"/>
      <c r="E4" s="155"/>
      <c r="F4" s="155"/>
      <c r="G4" s="155"/>
    </row>
    <row r="5" spans="1:7" ht="15.75" thickBot="1" x14ac:dyDescent="0.3">
      <c r="A5" s="31"/>
      <c r="B5" s="32"/>
      <c r="C5" s="159" t="s">
        <v>350</v>
      </c>
      <c r="D5" s="159"/>
      <c r="E5" s="159"/>
      <c r="F5" s="19" t="s">
        <v>351</v>
      </c>
      <c r="G5" s="33" t="s">
        <v>449</v>
      </c>
    </row>
    <row r="6" spans="1:7" ht="15.75" thickBot="1" x14ac:dyDescent="0.3">
      <c r="A6" s="31"/>
      <c r="B6" s="157" t="s">
        <v>343</v>
      </c>
      <c r="C6" s="157"/>
      <c r="D6" s="15"/>
      <c r="E6" s="17" t="s">
        <v>345</v>
      </c>
      <c r="F6" s="34">
        <v>0.27550000000000002</v>
      </c>
      <c r="G6" s="19"/>
    </row>
    <row r="7" spans="1:7" ht="15.75" thickBot="1" x14ac:dyDescent="0.3">
      <c r="A7" s="31"/>
      <c r="B7" s="157"/>
      <c r="C7" s="157"/>
      <c r="D7" s="155" t="s">
        <v>344</v>
      </c>
      <c r="E7" s="155"/>
      <c r="F7" s="158" t="s">
        <v>450</v>
      </c>
      <c r="G7" s="158"/>
    </row>
    <row r="8" spans="1:7" ht="15.75" thickBot="1" x14ac:dyDescent="0.3">
      <c r="A8" s="155"/>
      <c r="B8" s="155"/>
      <c r="C8" s="155"/>
      <c r="D8" s="155"/>
      <c r="E8" s="155"/>
      <c r="F8" s="155"/>
      <c r="G8" s="155"/>
    </row>
    <row r="9" spans="1:7" ht="15.75" thickBot="1" x14ac:dyDescent="0.3">
      <c r="A9" s="31" t="s">
        <v>341</v>
      </c>
      <c r="B9" s="156" t="s">
        <v>342</v>
      </c>
      <c r="C9" s="156"/>
      <c r="D9" s="155"/>
      <c r="E9" s="155"/>
      <c r="F9" s="155"/>
      <c r="G9" s="155"/>
    </row>
    <row r="10" spans="1:7" ht="15.75" thickBot="1" x14ac:dyDescent="0.3">
      <c r="A10" s="155"/>
      <c r="B10" s="155"/>
      <c r="C10" s="155"/>
      <c r="D10" s="155"/>
      <c r="E10" s="155"/>
      <c r="F10" s="155"/>
      <c r="G10" s="155"/>
    </row>
    <row r="11" spans="1:7" s="1" customFormat="1" ht="15.75" thickBot="1" x14ac:dyDescent="0.3">
      <c r="A11" s="162" t="s">
        <v>133</v>
      </c>
      <c r="B11" s="162" t="s">
        <v>134</v>
      </c>
      <c r="C11" s="163" t="s">
        <v>135</v>
      </c>
      <c r="D11" s="162" t="s">
        <v>136</v>
      </c>
      <c r="E11" s="164" t="s">
        <v>137</v>
      </c>
      <c r="F11" s="161" t="s">
        <v>138</v>
      </c>
      <c r="G11" s="161"/>
    </row>
    <row r="12" spans="1:7" ht="15.75" thickBot="1" x14ac:dyDescent="0.3">
      <c r="A12" s="162"/>
      <c r="B12" s="162"/>
      <c r="C12" s="163"/>
      <c r="D12" s="162"/>
      <c r="E12" s="164"/>
      <c r="F12" s="12" t="s">
        <v>139</v>
      </c>
      <c r="G12" s="12" t="s">
        <v>140</v>
      </c>
    </row>
    <row r="13" spans="1:7" ht="15.75" thickBot="1" x14ac:dyDescent="0.3">
      <c r="A13" s="155"/>
      <c r="B13" s="155"/>
      <c r="C13" s="155"/>
      <c r="D13" s="155"/>
      <c r="E13" s="155"/>
      <c r="F13" s="155"/>
      <c r="G13" s="155"/>
    </row>
    <row r="14" spans="1:7" s="1" customFormat="1" ht="15.75" thickBot="1" x14ac:dyDescent="0.3">
      <c r="A14" s="35" t="s">
        <v>7</v>
      </c>
      <c r="B14" s="11"/>
      <c r="C14" s="22" t="s">
        <v>141</v>
      </c>
      <c r="D14" s="13"/>
      <c r="E14" s="23"/>
      <c r="F14" s="14"/>
      <c r="G14" s="14"/>
    </row>
    <row r="15" spans="1:7" ht="15.75" thickBot="1" x14ac:dyDescent="0.3">
      <c r="A15" s="31" t="s">
        <v>8</v>
      </c>
      <c r="B15" s="32" t="s">
        <v>383</v>
      </c>
      <c r="C15" s="16" t="s">
        <v>142</v>
      </c>
      <c r="D15" s="15" t="s">
        <v>18</v>
      </c>
      <c r="E15" s="17">
        <v>1</v>
      </c>
      <c r="F15" s="19">
        <f>G67</f>
        <v>987.31250000000011</v>
      </c>
      <c r="G15" s="19">
        <f>F15*E15</f>
        <v>987.31250000000011</v>
      </c>
    </row>
    <row r="16" spans="1:7" ht="15.75" thickBot="1" x14ac:dyDescent="0.3">
      <c r="A16" s="31" t="s">
        <v>9</v>
      </c>
      <c r="B16" s="32">
        <v>98524</v>
      </c>
      <c r="C16" s="16" t="s">
        <v>143</v>
      </c>
      <c r="D16" s="15" t="s">
        <v>11</v>
      </c>
      <c r="E16" s="17">
        <v>100</v>
      </c>
      <c r="F16" s="19">
        <v>2.19</v>
      </c>
      <c r="G16" s="19">
        <f t="shared" ref="G16:G26" si="0">F16*E16</f>
        <v>219</v>
      </c>
    </row>
    <row r="17" spans="1:7" ht="30.75" thickBot="1" x14ac:dyDescent="0.3">
      <c r="A17" s="31" t="s">
        <v>10</v>
      </c>
      <c r="B17" s="32" t="s">
        <v>144</v>
      </c>
      <c r="C17" s="16" t="s">
        <v>145</v>
      </c>
      <c r="D17" s="15" t="s">
        <v>18</v>
      </c>
      <c r="E17" s="17">
        <v>1</v>
      </c>
      <c r="F17" s="19">
        <f>G85</f>
        <v>503.80829999999997</v>
      </c>
      <c r="G17" s="19">
        <f t="shared" si="0"/>
        <v>503.80829999999997</v>
      </c>
    </row>
    <row r="18" spans="1:7" ht="15.75" thickBot="1" x14ac:dyDescent="0.3">
      <c r="A18" s="31" t="s">
        <v>146</v>
      </c>
      <c r="B18" s="32" t="s">
        <v>147</v>
      </c>
      <c r="C18" s="16" t="s">
        <v>148</v>
      </c>
      <c r="D18" s="15" t="s">
        <v>15</v>
      </c>
      <c r="E18" s="17">
        <v>8</v>
      </c>
      <c r="F18" s="19">
        <f>G103</f>
        <v>289.18099999999998</v>
      </c>
      <c r="G18" s="19">
        <f t="shared" si="0"/>
        <v>2313.4479999999999</v>
      </c>
    </row>
    <row r="19" spans="1:7" ht="30.75" thickBot="1" x14ac:dyDescent="0.3">
      <c r="A19" s="31" t="s">
        <v>149</v>
      </c>
      <c r="B19" s="32" t="s">
        <v>150</v>
      </c>
      <c r="C19" s="16" t="s">
        <v>151</v>
      </c>
      <c r="D19" s="15" t="s">
        <v>15</v>
      </c>
      <c r="E19" s="17">
        <v>8</v>
      </c>
      <c r="F19" s="19">
        <v>167.5</v>
      </c>
      <c r="G19" s="19">
        <f t="shared" si="0"/>
        <v>1340</v>
      </c>
    </row>
    <row r="20" spans="1:7" ht="15.75" thickBot="1" x14ac:dyDescent="0.3">
      <c r="A20" s="31" t="s">
        <v>152</v>
      </c>
      <c r="B20" s="32">
        <v>88629</v>
      </c>
      <c r="C20" s="15" t="s">
        <v>153</v>
      </c>
      <c r="D20" s="15" t="s">
        <v>37</v>
      </c>
      <c r="E20" s="17">
        <v>0.24</v>
      </c>
      <c r="F20" s="19">
        <v>588.86</v>
      </c>
      <c r="G20" s="19">
        <f t="shared" si="0"/>
        <v>141.32640000000001</v>
      </c>
    </row>
    <row r="21" spans="1:7" ht="15.75" thickBot="1" x14ac:dyDescent="0.3">
      <c r="A21" s="31" t="s">
        <v>154</v>
      </c>
      <c r="B21" s="32" t="s">
        <v>155</v>
      </c>
      <c r="C21" s="15" t="s">
        <v>156</v>
      </c>
      <c r="D21" s="15" t="s">
        <v>15</v>
      </c>
      <c r="E21" s="17">
        <v>42</v>
      </c>
      <c r="F21" s="19">
        <f>G121</f>
        <v>290.25779999999997</v>
      </c>
      <c r="G21" s="19">
        <f t="shared" si="0"/>
        <v>12190.827599999999</v>
      </c>
    </row>
    <row r="22" spans="1:7" ht="15.75" thickBot="1" x14ac:dyDescent="0.3">
      <c r="A22" s="31" t="s">
        <v>157</v>
      </c>
      <c r="B22" s="32" t="s">
        <v>158</v>
      </c>
      <c r="C22" s="15" t="s">
        <v>159</v>
      </c>
      <c r="D22" s="15" t="s">
        <v>160</v>
      </c>
      <c r="E22" s="17">
        <v>4</v>
      </c>
      <c r="F22" s="19">
        <f>G138</f>
        <v>265.21199999999999</v>
      </c>
      <c r="G22" s="19">
        <f t="shared" si="0"/>
        <v>1060.848</v>
      </c>
    </row>
    <row r="23" spans="1:7" ht="15.75" thickBot="1" x14ac:dyDescent="0.3">
      <c r="A23" s="31" t="s">
        <v>161</v>
      </c>
      <c r="B23" s="32" t="s">
        <v>162</v>
      </c>
      <c r="C23" s="15" t="s">
        <v>163</v>
      </c>
      <c r="D23" s="15" t="s">
        <v>18</v>
      </c>
      <c r="E23" s="17">
        <v>1</v>
      </c>
      <c r="F23" s="19">
        <f>G152</f>
        <v>56.192500000000003</v>
      </c>
      <c r="G23" s="19">
        <f t="shared" si="0"/>
        <v>56.192500000000003</v>
      </c>
    </row>
    <row r="24" spans="1:7" ht="15.75" thickBot="1" x14ac:dyDescent="0.3">
      <c r="A24" s="31" t="s">
        <v>164</v>
      </c>
      <c r="B24" s="32" t="s">
        <v>165</v>
      </c>
      <c r="C24" s="15" t="s">
        <v>166</v>
      </c>
      <c r="D24" s="15" t="s">
        <v>18</v>
      </c>
      <c r="E24" s="17">
        <v>1</v>
      </c>
      <c r="F24" s="19">
        <f>G167</f>
        <v>241.39500000000004</v>
      </c>
      <c r="G24" s="19">
        <f t="shared" si="0"/>
        <v>241.39500000000004</v>
      </c>
    </row>
    <row r="25" spans="1:7" ht="15.75" thickBot="1" x14ac:dyDescent="0.3">
      <c r="A25" s="31" t="s">
        <v>167</v>
      </c>
      <c r="B25" s="32" t="s">
        <v>168</v>
      </c>
      <c r="C25" s="15" t="s">
        <v>169</v>
      </c>
      <c r="D25" s="15" t="s">
        <v>160</v>
      </c>
      <c r="E25" s="17">
        <v>12</v>
      </c>
      <c r="F25" s="19">
        <f>G181</f>
        <v>160.86500000000001</v>
      </c>
      <c r="G25" s="19">
        <f t="shared" si="0"/>
        <v>1930.38</v>
      </c>
    </row>
    <row r="26" spans="1:7" ht="15.75" thickBot="1" x14ac:dyDescent="0.3">
      <c r="A26" s="31" t="s">
        <v>170</v>
      </c>
      <c r="B26" s="32" t="s">
        <v>171</v>
      </c>
      <c r="C26" s="15" t="s">
        <v>172</v>
      </c>
      <c r="D26" s="15" t="s">
        <v>18</v>
      </c>
      <c r="E26" s="17">
        <v>1</v>
      </c>
      <c r="F26" s="19">
        <f>G194</f>
        <v>131.08591000000001</v>
      </c>
      <c r="G26" s="19">
        <f t="shared" si="0"/>
        <v>131.08591000000001</v>
      </c>
    </row>
    <row r="27" spans="1:7" ht="19.5" thickBot="1" x14ac:dyDescent="0.35">
      <c r="A27" s="160" t="s">
        <v>173</v>
      </c>
      <c r="B27" s="160"/>
      <c r="C27" s="160"/>
      <c r="D27" s="160"/>
      <c r="E27" s="160"/>
      <c r="F27" s="160"/>
      <c r="G27" s="36">
        <f>SUM(G15:G26)</f>
        <v>21115.624210000005</v>
      </c>
    </row>
    <row r="28" spans="1:7" ht="15.75" thickBot="1" x14ac:dyDescent="0.3">
      <c r="A28" s="155"/>
      <c r="B28" s="155"/>
      <c r="C28" s="155"/>
      <c r="D28" s="155"/>
      <c r="E28" s="155"/>
      <c r="F28" s="155"/>
      <c r="G28" s="155"/>
    </row>
    <row r="29" spans="1:7" ht="15.75" thickBot="1" x14ac:dyDescent="0.3">
      <c r="A29" s="35" t="s">
        <v>19</v>
      </c>
      <c r="B29" s="11"/>
      <c r="C29" s="22" t="s">
        <v>174</v>
      </c>
      <c r="D29" s="13"/>
      <c r="E29" s="23"/>
      <c r="F29" s="14"/>
      <c r="G29" s="14"/>
    </row>
    <row r="30" spans="1:7" ht="15.75" thickBot="1" x14ac:dyDescent="0.3">
      <c r="A30" s="31" t="s">
        <v>21</v>
      </c>
      <c r="B30" s="32" t="s">
        <v>175</v>
      </c>
      <c r="C30" s="15" t="s">
        <v>374</v>
      </c>
      <c r="D30" s="15" t="s">
        <v>18</v>
      </c>
      <c r="E30" s="17">
        <v>1</v>
      </c>
      <c r="F30" s="19">
        <f>G227</f>
        <v>6162.4460000000008</v>
      </c>
      <c r="G30" s="19">
        <f>F30*E30</f>
        <v>6162.4460000000008</v>
      </c>
    </row>
    <row r="31" spans="1:7" ht="19.5" thickBot="1" x14ac:dyDescent="0.35">
      <c r="A31" s="160" t="s">
        <v>173</v>
      </c>
      <c r="B31" s="160"/>
      <c r="C31" s="160"/>
      <c r="D31" s="160"/>
      <c r="E31" s="160"/>
      <c r="F31" s="160"/>
      <c r="G31" s="36">
        <f>SUM(G30)</f>
        <v>6162.4460000000008</v>
      </c>
    </row>
    <row r="32" spans="1:7" ht="15.75" thickBot="1" x14ac:dyDescent="0.3">
      <c r="A32" s="155"/>
      <c r="B32" s="155"/>
      <c r="C32" s="155"/>
      <c r="D32" s="155"/>
      <c r="E32" s="155"/>
      <c r="F32" s="155"/>
      <c r="G32" s="155"/>
    </row>
    <row r="33" spans="1:7" ht="15.75" thickBot="1" x14ac:dyDescent="0.3">
      <c r="A33" s="35" t="s">
        <v>65</v>
      </c>
      <c r="B33" s="11"/>
      <c r="C33" s="13" t="s">
        <v>176</v>
      </c>
      <c r="D33" s="13"/>
      <c r="E33" s="23"/>
      <c r="F33" s="14"/>
      <c r="G33" s="14"/>
    </row>
    <row r="34" spans="1:7" ht="15.75" thickBot="1" x14ac:dyDescent="0.3">
      <c r="A34" s="31" t="s">
        <v>21</v>
      </c>
      <c r="B34" s="32" t="s">
        <v>177</v>
      </c>
      <c r="C34" s="15" t="s">
        <v>178</v>
      </c>
      <c r="D34" s="15" t="s">
        <v>18</v>
      </c>
      <c r="E34" s="17">
        <v>1</v>
      </c>
      <c r="F34" s="19">
        <f>G255</f>
        <v>2487.4450000000006</v>
      </c>
      <c r="G34" s="19">
        <f>F34*E34</f>
        <v>2487.4450000000006</v>
      </c>
    </row>
    <row r="35" spans="1:7" ht="19.5" thickBot="1" x14ac:dyDescent="0.35">
      <c r="A35" s="160" t="s">
        <v>173</v>
      </c>
      <c r="B35" s="160"/>
      <c r="C35" s="160"/>
      <c r="D35" s="160"/>
      <c r="E35" s="160"/>
      <c r="F35" s="160"/>
      <c r="G35" s="36">
        <f>SUM(G34)</f>
        <v>2487.4450000000006</v>
      </c>
    </row>
    <row r="36" spans="1:7" ht="15.75" thickBot="1" x14ac:dyDescent="0.3">
      <c r="A36" s="155"/>
      <c r="B36" s="155"/>
      <c r="C36" s="155"/>
      <c r="D36" s="155"/>
      <c r="E36" s="155"/>
      <c r="F36" s="155"/>
      <c r="G36" s="155"/>
    </row>
    <row r="37" spans="1:7" ht="19.5" thickBot="1" x14ac:dyDescent="0.35">
      <c r="A37" s="160" t="s">
        <v>179</v>
      </c>
      <c r="B37" s="160"/>
      <c r="C37" s="160"/>
      <c r="D37" s="160"/>
      <c r="E37" s="160"/>
      <c r="F37" s="160"/>
      <c r="G37" s="36">
        <f>SUM(G35,G31,G27)</f>
        <v>29765.515210000005</v>
      </c>
    </row>
    <row r="38" spans="1:7" x14ac:dyDescent="0.25">
      <c r="C38"/>
    </row>
    <row r="39" spans="1:7" ht="15.75" thickBot="1" x14ac:dyDescent="0.3">
      <c r="C39"/>
    </row>
    <row r="40" spans="1:7" ht="24" thickBot="1" x14ac:dyDescent="0.3">
      <c r="A40" s="165" t="s">
        <v>355</v>
      </c>
      <c r="B40" s="165"/>
      <c r="C40" s="165"/>
      <c r="D40" s="165"/>
      <c r="E40" s="165"/>
      <c r="F40" s="165"/>
      <c r="G40" s="165"/>
    </row>
    <row r="41" spans="1:7" ht="15.75" thickBot="1" x14ac:dyDescent="0.3">
      <c r="A41" s="20"/>
      <c r="B41" s="20"/>
      <c r="C41" s="20"/>
      <c r="D41" s="20"/>
      <c r="E41" s="20"/>
      <c r="F41" s="40" t="s">
        <v>356</v>
      </c>
      <c r="G41" s="41">
        <v>0.27550000000000002</v>
      </c>
    </row>
    <row r="42" spans="1:7" ht="30.75" thickBot="1" x14ac:dyDescent="0.3">
      <c r="A42" s="55" t="s">
        <v>0</v>
      </c>
      <c r="B42" s="55" t="s">
        <v>1</v>
      </c>
      <c r="C42" s="55" t="s">
        <v>2</v>
      </c>
      <c r="D42" s="55" t="s">
        <v>3</v>
      </c>
      <c r="E42" s="42" t="s">
        <v>4</v>
      </c>
      <c r="F42" s="43" t="s">
        <v>5</v>
      </c>
      <c r="G42" s="43" t="s">
        <v>6</v>
      </c>
    </row>
    <row r="43" spans="1:7" ht="15.75" thickBot="1" x14ac:dyDescent="0.3">
      <c r="A43" s="20"/>
      <c r="B43" s="20"/>
      <c r="C43" s="20"/>
      <c r="D43" s="20"/>
      <c r="E43" s="44"/>
      <c r="F43" s="40"/>
      <c r="G43" s="40"/>
    </row>
    <row r="44" spans="1:7" ht="15.75" thickBot="1" x14ac:dyDescent="0.3">
      <c r="A44" s="55" t="s">
        <v>7</v>
      </c>
      <c r="B44" s="55"/>
      <c r="C44" s="166" t="s">
        <v>181</v>
      </c>
      <c r="D44" s="166"/>
      <c r="E44" s="166"/>
      <c r="F44" s="166"/>
      <c r="G44" s="166"/>
    </row>
    <row r="45" spans="1:7" ht="15.75" thickBot="1" x14ac:dyDescent="0.3">
      <c r="A45" s="20"/>
      <c r="B45" s="20"/>
      <c r="C45" s="20"/>
      <c r="D45" s="20"/>
      <c r="E45" s="44"/>
      <c r="F45" s="40"/>
      <c r="G45" s="40"/>
    </row>
    <row r="46" spans="1:7" ht="15.75" thickBot="1" x14ac:dyDescent="0.3">
      <c r="A46" s="20" t="s">
        <v>8</v>
      </c>
      <c r="B46" s="31" t="s">
        <v>346</v>
      </c>
      <c r="C46" s="31" t="s">
        <v>188</v>
      </c>
      <c r="D46" s="20" t="s">
        <v>18</v>
      </c>
      <c r="E46" s="31">
        <v>16</v>
      </c>
      <c r="F46" s="19">
        <v>46.39</v>
      </c>
      <c r="G46" s="40">
        <f>F46*E46</f>
        <v>742.24</v>
      </c>
    </row>
    <row r="47" spans="1:7" ht="15.75" thickBot="1" x14ac:dyDescent="0.3">
      <c r="A47" s="20" t="s">
        <v>9</v>
      </c>
      <c r="B47" s="31" t="s">
        <v>347</v>
      </c>
      <c r="C47" s="31" t="s">
        <v>182</v>
      </c>
      <c r="D47" s="20" t="s">
        <v>15</v>
      </c>
      <c r="E47" s="31">
        <v>141</v>
      </c>
      <c r="F47" s="19">
        <v>1.83</v>
      </c>
      <c r="G47" s="40">
        <f>F47*E47</f>
        <v>258.03000000000003</v>
      </c>
    </row>
    <row r="48" spans="1:7" ht="15.75" thickBot="1" x14ac:dyDescent="0.3">
      <c r="A48" s="20" t="s">
        <v>10</v>
      </c>
      <c r="B48" s="31" t="s">
        <v>348</v>
      </c>
      <c r="C48" s="31" t="s">
        <v>183</v>
      </c>
      <c r="D48" s="20" t="s">
        <v>184</v>
      </c>
      <c r="E48" s="31">
        <v>6.91</v>
      </c>
      <c r="F48" s="40">
        <v>30</v>
      </c>
      <c r="G48" s="40">
        <f>F48*E48</f>
        <v>207.3</v>
      </c>
    </row>
    <row r="49" spans="1:7" ht="15.75" thickBot="1" x14ac:dyDescent="0.3">
      <c r="A49" s="20" t="s">
        <v>146</v>
      </c>
      <c r="B49" s="31">
        <v>88309</v>
      </c>
      <c r="C49" s="31" t="s">
        <v>185</v>
      </c>
      <c r="D49" s="20" t="s">
        <v>160</v>
      </c>
      <c r="E49" s="31">
        <v>15.36</v>
      </c>
      <c r="F49" s="40">
        <v>19.57</v>
      </c>
      <c r="G49" s="40">
        <f>F49*E49</f>
        <v>300.59519999999998</v>
      </c>
    </row>
    <row r="50" spans="1:7" ht="15.75" thickBot="1" x14ac:dyDescent="0.3">
      <c r="A50" s="20" t="s">
        <v>149</v>
      </c>
      <c r="B50" s="31">
        <v>88316</v>
      </c>
      <c r="C50" s="31" t="s">
        <v>186</v>
      </c>
      <c r="D50" s="20" t="s">
        <v>160</v>
      </c>
      <c r="E50" s="31">
        <v>23.04</v>
      </c>
      <c r="F50" s="40">
        <v>15.53</v>
      </c>
      <c r="G50" s="40">
        <f>F50*E50</f>
        <v>357.81119999999999</v>
      </c>
    </row>
    <row r="51" spans="1:7" ht="15.75" thickBot="1" x14ac:dyDescent="0.3">
      <c r="A51" s="20"/>
      <c r="B51" s="20"/>
      <c r="C51" s="20"/>
      <c r="D51" s="20"/>
      <c r="E51" s="20"/>
      <c r="F51" s="40"/>
      <c r="G51" s="40"/>
    </row>
    <row r="52" spans="1:7" ht="15.75" thickBot="1" x14ac:dyDescent="0.3">
      <c r="A52" s="20"/>
      <c r="B52" s="20"/>
      <c r="C52" s="163" t="s">
        <v>187</v>
      </c>
      <c r="D52" s="167"/>
      <c r="E52" s="167"/>
      <c r="F52" s="167"/>
      <c r="G52" s="43">
        <f>SUM(G46:G51)</f>
        <v>1865.9764</v>
      </c>
    </row>
    <row r="54" spans="1:7" ht="15.75" thickBot="1" x14ac:dyDescent="0.3"/>
    <row r="55" spans="1:7" ht="24" thickBot="1" x14ac:dyDescent="0.3">
      <c r="A55" s="165" t="s">
        <v>375</v>
      </c>
      <c r="B55" s="165"/>
      <c r="C55" s="165"/>
      <c r="D55" s="165"/>
      <c r="E55" s="165"/>
      <c r="F55" s="165"/>
      <c r="G55" s="165"/>
    </row>
    <row r="56" spans="1:7" ht="15.75" thickBot="1" x14ac:dyDescent="0.3">
      <c r="A56" s="20"/>
      <c r="B56" s="20"/>
      <c r="C56" s="20"/>
      <c r="D56" s="20"/>
      <c r="E56" s="20"/>
      <c r="F56" s="40" t="s">
        <v>356</v>
      </c>
      <c r="G56" s="41">
        <v>0.27550000000000002</v>
      </c>
    </row>
    <row r="57" spans="1:7" ht="30.75" thickBot="1" x14ac:dyDescent="0.3">
      <c r="A57" s="55" t="s">
        <v>0</v>
      </c>
      <c r="B57" s="55" t="s">
        <v>1</v>
      </c>
      <c r="C57" s="55" t="s">
        <v>2</v>
      </c>
      <c r="D57" s="55" t="s">
        <v>3</v>
      </c>
      <c r="E57" s="42" t="s">
        <v>4</v>
      </c>
      <c r="F57" s="43" t="s">
        <v>5</v>
      </c>
      <c r="G57" s="43" t="s">
        <v>6</v>
      </c>
    </row>
    <row r="58" spans="1:7" ht="15.75" thickBot="1" x14ac:dyDescent="0.3">
      <c r="A58" s="20"/>
      <c r="B58" s="20"/>
      <c r="C58" s="20"/>
      <c r="D58" s="20"/>
      <c r="E58" s="44"/>
      <c r="F58" s="40"/>
      <c r="G58" s="40"/>
    </row>
    <row r="59" spans="1:7" ht="15.75" thickBot="1" x14ac:dyDescent="0.3">
      <c r="A59" s="55" t="s">
        <v>7</v>
      </c>
      <c r="B59" s="55"/>
      <c r="C59" s="166" t="s">
        <v>189</v>
      </c>
      <c r="D59" s="166"/>
      <c r="E59" s="166"/>
      <c r="F59" s="166"/>
      <c r="G59" s="166"/>
    </row>
    <row r="60" spans="1:7" ht="15.75" thickBot="1" x14ac:dyDescent="0.3">
      <c r="A60" s="20"/>
      <c r="B60" s="20"/>
      <c r="C60" s="20"/>
      <c r="D60" s="20"/>
      <c r="E60" s="44"/>
      <c r="F60" s="40"/>
      <c r="G60" s="40"/>
    </row>
    <row r="61" spans="1:7" ht="15.75" thickBot="1" x14ac:dyDescent="0.3">
      <c r="A61" s="20" t="s">
        <v>8</v>
      </c>
      <c r="B61" s="15">
        <v>90779</v>
      </c>
      <c r="C61" s="15" t="s">
        <v>190</v>
      </c>
      <c r="D61" s="20" t="s">
        <v>160</v>
      </c>
      <c r="E61" s="45">
        <v>3.75</v>
      </c>
      <c r="F61" s="19">
        <v>138.52000000000001</v>
      </c>
      <c r="G61" s="40">
        <f>F61*E61</f>
        <v>519.45000000000005</v>
      </c>
    </row>
    <row r="62" spans="1:7" ht="15.75" thickBot="1" x14ac:dyDescent="0.3">
      <c r="A62" s="20" t="s">
        <v>9</v>
      </c>
      <c r="B62" s="15">
        <v>88243</v>
      </c>
      <c r="C62" s="15" t="s">
        <v>191</v>
      </c>
      <c r="D62" s="20" t="s">
        <v>160</v>
      </c>
      <c r="E62" s="45">
        <v>3.75</v>
      </c>
      <c r="F62" s="19">
        <v>15.86</v>
      </c>
      <c r="G62" s="40">
        <f t="shared" ref="G62:G65" si="1">F62*E62</f>
        <v>59.474999999999994</v>
      </c>
    </row>
    <row r="63" spans="1:7" ht="15.75" thickBot="1" x14ac:dyDescent="0.3">
      <c r="A63" s="20" t="s">
        <v>10</v>
      </c>
      <c r="B63" s="15">
        <v>88284</v>
      </c>
      <c r="C63" s="15" t="s">
        <v>194</v>
      </c>
      <c r="D63" s="20" t="s">
        <v>160</v>
      </c>
      <c r="E63" s="45">
        <v>3.75</v>
      </c>
      <c r="F63" s="19">
        <v>18.36</v>
      </c>
      <c r="G63" s="40">
        <f t="shared" si="1"/>
        <v>68.849999999999994</v>
      </c>
    </row>
    <row r="64" spans="1:7" ht="15.75" thickBot="1" x14ac:dyDescent="0.3">
      <c r="A64" s="20" t="s">
        <v>146</v>
      </c>
      <c r="B64" s="15">
        <v>92145</v>
      </c>
      <c r="C64" s="15" t="s">
        <v>195</v>
      </c>
      <c r="D64" s="20" t="s">
        <v>192</v>
      </c>
      <c r="E64" s="45">
        <v>3.75</v>
      </c>
      <c r="F64" s="19">
        <v>63.77</v>
      </c>
      <c r="G64" s="40">
        <f t="shared" si="1"/>
        <v>239.13750000000002</v>
      </c>
    </row>
    <row r="65" spans="1:7" ht="15.75" thickBot="1" x14ac:dyDescent="0.3">
      <c r="A65" s="20" t="s">
        <v>149</v>
      </c>
      <c r="B65" s="15" t="s">
        <v>197</v>
      </c>
      <c r="C65" s="15" t="s">
        <v>196</v>
      </c>
      <c r="D65" s="20" t="s">
        <v>193</v>
      </c>
      <c r="E65" s="45">
        <v>20</v>
      </c>
      <c r="F65" s="40">
        <v>5.0199999999999996</v>
      </c>
      <c r="G65" s="40">
        <f t="shared" si="1"/>
        <v>100.39999999999999</v>
      </c>
    </row>
    <row r="66" spans="1:7" ht="15.75" thickBot="1" x14ac:dyDescent="0.3">
      <c r="A66" s="20"/>
      <c r="B66" s="20"/>
      <c r="C66" s="20"/>
      <c r="D66" s="20"/>
      <c r="E66" s="44"/>
      <c r="F66" s="40"/>
      <c r="G66" s="40"/>
    </row>
    <row r="67" spans="1:7" ht="15.75" thickBot="1" x14ac:dyDescent="0.3">
      <c r="A67" s="20"/>
      <c r="B67" s="20"/>
      <c r="C67" s="163" t="s">
        <v>187</v>
      </c>
      <c r="D67" s="167"/>
      <c r="E67" s="167"/>
      <c r="F67" s="167"/>
      <c r="G67" s="43">
        <f>SUM(G61:G66)</f>
        <v>987.31250000000011</v>
      </c>
    </row>
    <row r="69" spans="1:7" ht="15.75" thickBot="1" x14ac:dyDescent="0.3"/>
    <row r="70" spans="1:7" ht="24" thickBot="1" x14ac:dyDescent="0.3">
      <c r="A70" s="165" t="s">
        <v>361</v>
      </c>
      <c r="B70" s="165"/>
      <c r="C70" s="165"/>
      <c r="D70" s="165"/>
      <c r="E70" s="165"/>
      <c r="F70" s="165"/>
      <c r="G70" s="165"/>
    </row>
    <row r="71" spans="1:7" ht="15.75" thickBot="1" x14ac:dyDescent="0.3">
      <c r="A71" s="20"/>
      <c r="B71" s="20"/>
      <c r="C71" s="20"/>
      <c r="D71" s="20"/>
      <c r="E71" s="20"/>
      <c r="F71" s="40" t="s">
        <v>356</v>
      </c>
      <c r="G71" s="41">
        <v>0.27550000000000002</v>
      </c>
    </row>
    <row r="72" spans="1:7" ht="30.75" thickBot="1" x14ac:dyDescent="0.3">
      <c r="A72" s="55" t="s">
        <v>0</v>
      </c>
      <c r="B72" s="55" t="s">
        <v>1</v>
      </c>
      <c r="C72" s="55" t="s">
        <v>2</v>
      </c>
      <c r="D72" s="55" t="s">
        <v>3</v>
      </c>
      <c r="E72" s="42" t="s">
        <v>4</v>
      </c>
      <c r="F72" s="43" t="s">
        <v>5</v>
      </c>
      <c r="G72" s="43" t="s">
        <v>6</v>
      </c>
    </row>
    <row r="73" spans="1:7" ht="15.75" thickBot="1" x14ac:dyDescent="0.3">
      <c r="A73" s="20"/>
      <c r="B73" s="20"/>
      <c r="C73" s="20"/>
      <c r="D73" s="20"/>
      <c r="E73" s="44"/>
      <c r="F73" s="40"/>
      <c r="G73" s="40"/>
    </row>
    <row r="74" spans="1:7" ht="15.75" thickBot="1" x14ac:dyDescent="0.3">
      <c r="A74" s="55" t="s">
        <v>7</v>
      </c>
      <c r="B74" s="55"/>
      <c r="C74" s="166" t="s">
        <v>145</v>
      </c>
      <c r="D74" s="166"/>
      <c r="E74" s="166"/>
      <c r="F74" s="166"/>
      <c r="G74" s="166"/>
    </row>
    <row r="75" spans="1:7" ht="15.75" thickBot="1" x14ac:dyDescent="0.3">
      <c r="A75" s="20"/>
      <c r="B75" s="20"/>
      <c r="C75" s="20"/>
      <c r="D75" s="20"/>
      <c r="E75" s="44"/>
      <c r="F75" s="40"/>
      <c r="G75" s="40"/>
    </row>
    <row r="76" spans="1:7" ht="15.75" thickBot="1" x14ac:dyDescent="0.3">
      <c r="A76" s="20" t="s">
        <v>8</v>
      </c>
      <c r="B76" s="32" t="s">
        <v>199</v>
      </c>
      <c r="C76" s="16" t="s">
        <v>198</v>
      </c>
      <c r="D76" s="20" t="s">
        <v>160</v>
      </c>
      <c r="E76" s="45">
        <v>4.3499999999999996</v>
      </c>
      <c r="F76" s="46">
        <v>3.17</v>
      </c>
      <c r="G76" s="40">
        <f>F76*E76</f>
        <v>13.789499999999999</v>
      </c>
    </row>
    <row r="77" spans="1:7" ht="30.75" thickBot="1" x14ac:dyDescent="0.3">
      <c r="A77" s="20" t="s">
        <v>9</v>
      </c>
      <c r="B77" s="32">
        <v>90972</v>
      </c>
      <c r="C77" s="16" t="s">
        <v>200</v>
      </c>
      <c r="D77" s="20" t="s">
        <v>192</v>
      </c>
      <c r="E77" s="45">
        <v>1.35</v>
      </c>
      <c r="F77" s="46">
        <v>83.18</v>
      </c>
      <c r="G77" s="40">
        <f t="shared" ref="G77:G83" si="2">F77*E77</f>
        <v>112.29300000000002</v>
      </c>
    </row>
    <row r="78" spans="1:7" ht="15.75" thickBot="1" x14ac:dyDescent="0.3">
      <c r="A78" s="20" t="s">
        <v>10</v>
      </c>
      <c r="B78" s="32">
        <v>88322</v>
      </c>
      <c r="C78" s="16" t="s">
        <v>201</v>
      </c>
      <c r="D78" s="20" t="s">
        <v>160</v>
      </c>
      <c r="E78" s="45">
        <v>4.3499999999999996</v>
      </c>
      <c r="F78" s="46">
        <v>19.899999999999999</v>
      </c>
      <c r="G78" s="40">
        <f t="shared" si="2"/>
        <v>86.564999999999984</v>
      </c>
    </row>
    <row r="79" spans="1:7" ht="15.75" thickBot="1" x14ac:dyDescent="0.3">
      <c r="A79" s="20" t="s">
        <v>146</v>
      </c>
      <c r="B79" s="32">
        <v>88292</v>
      </c>
      <c r="C79" s="16" t="s">
        <v>202</v>
      </c>
      <c r="D79" s="20" t="s">
        <v>160</v>
      </c>
      <c r="E79" s="45">
        <v>1.35</v>
      </c>
      <c r="F79" s="46">
        <v>17.66</v>
      </c>
      <c r="G79" s="40">
        <f t="shared" si="2"/>
        <v>23.841000000000001</v>
      </c>
    </row>
    <row r="80" spans="1:7" ht="15.75" thickBot="1" x14ac:dyDescent="0.3">
      <c r="A80" s="20" t="s">
        <v>149</v>
      </c>
      <c r="B80" s="32">
        <v>88243</v>
      </c>
      <c r="C80" s="16" t="s">
        <v>191</v>
      </c>
      <c r="D80" s="20" t="s">
        <v>160</v>
      </c>
      <c r="E80" s="45">
        <v>8.6999999999999993</v>
      </c>
      <c r="F80" s="47">
        <v>15.86</v>
      </c>
      <c r="G80" s="40">
        <f t="shared" si="2"/>
        <v>137.98199999999997</v>
      </c>
    </row>
    <row r="81" spans="1:7" ht="30.75" thickBot="1" x14ac:dyDescent="0.3">
      <c r="A81" s="20" t="s">
        <v>152</v>
      </c>
      <c r="B81" s="32" t="s">
        <v>203</v>
      </c>
      <c r="C81" s="16" t="s">
        <v>204</v>
      </c>
      <c r="D81" s="20" t="s">
        <v>193</v>
      </c>
      <c r="E81" s="44">
        <v>0.27</v>
      </c>
      <c r="F81" s="47">
        <v>23</v>
      </c>
      <c r="G81" s="40">
        <f t="shared" si="2"/>
        <v>6.2100000000000009</v>
      </c>
    </row>
    <row r="82" spans="1:7" ht="15.75" thickBot="1" x14ac:dyDescent="0.3">
      <c r="A82" s="20" t="s">
        <v>154</v>
      </c>
      <c r="B82" s="32" t="s">
        <v>205</v>
      </c>
      <c r="C82" s="16" t="s">
        <v>206</v>
      </c>
      <c r="D82" s="20" t="s">
        <v>193</v>
      </c>
      <c r="E82" s="44">
        <v>6.55</v>
      </c>
      <c r="F82" s="47">
        <v>6.66</v>
      </c>
      <c r="G82" s="40">
        <f t="shared" si="2"/>
        <v>43.622999999999998</v>
      </c>
    </row>
    <row r="83" spans="1:7" ht="15.75" thickBot="1" x14ac:dyDescent="0.3">
      <c r="A83" s="20" t="s">
        <v>157</v>
      </c>
      <c r="B83" s="32" t="s">
        <v>207</v>
      </c>
      <c r="C83" s="16" t="s">
        <v>208</v>
      </c>
      <c r="D83" s="20" t="s">
        <v>184</v>
      </c>
      <c r="E83" s="48">
        <v>2.355</v>
      </c>
      <c r="F83" s="47">
        <v>33.76</v>
      </c>
      <c r="G83" s="40">
        <f t="shared" si="2"/>
        <v>79.504799999999989</v>
      </c>
    </row>
    <row r="84" spans="1:7" ht="15.75" thickBot="1" x14ac:dyDescent="0.3">
      <c r="A84" s="20"/>
      <c r="B84" s="20"/>
      <c r="C84" s="20"/>
      <c r="D84" s="20"/>
      <c r="E84" s="44"/>
      <c r="F84" s="40"/>
      <c r="G84" s="40"/>
    </row>
    <row r="85" spans="1:7" ht="15.75" thickBot="1" x14ac:dyDescent="0.3">
      <c r="A85" s="20"/>
      <c r="B85" s="20"/>
      <c r="C85" s="163" t="s">
        <v>187</v>
      </c>
      <c r="D85" s="167"/>
      <c r="E85" s="167"/>
      <c r="F85" s="167"/>
      <c r="G85" s="43">
        <f>SUM(G76:G83)</f>
        <v>503.80829999999997</v>
      </c>
    </row>
    <row r="87" spans="1:7" ht="15.75" thickBot="1" x14ac:dyDescent="0.3"/>
    <row r="88" spans="1:7" ht="24" thickBot="1" x14ac:dyDescent="0.3">
      <c r="A88" s="165" t="s">
        <v>362</v>
      </c>
      <c r="B88" s="165"/>
      <c r="C88" s="165"/>
      <c r="D88" s="165"/>
      <c r="E88" s="165"/>
      <c r="F88" s="165"/>
      <c r="G88" s="165"/>
    </row>
    <row r="89" spans="1:7" ht="15.75" thickBot="1" x14ac:dyDescent="0.3">
      <c r="A89" s="20"/>
      <c r="B89" s="20"/>
      <c r="C89" s="20"/>
      <c r="D89" s="20"/>
      <c r="E89" s="20"/>
      <c r="F89" s="40" t="s">
        <v>356</v>
      </c>
      <c r="G89" s="41">
        <v>0.27550000000000002</v>
      </c>
    </row>
    <row r="90" spans="1:7" ht="30.75" thickBot="1" x14ac:dyDescent="0.3">
      <c r="A90" s="55" t="s">
        <v>0</v>
      </c>
      <c r="B90" s="55" t="s">
        <v>1</v>
      </c>
      <c r="C90" s="55" t="s">
        <v>2</v>
      </c>
      <c r="D90" s="55" t="s">
        <v>3</v>
      </c>
      <c r="E90" s="42" t="s">
        <v>4</v>
      </c>
      <c r="F90" s="49" t="s">
        <v>5</v>
      </c>
      <c r="G90" s="43" t="s">
        <v>6</v>
      </c>
    </row>
    <row r="91" spans="1:7" ht="15.75" thickBot="1" x14ac:dyDescent="0.3">
      <c r="A91" s="20"/>
      <c r="B91" s="20"/>
      <c r="C91" s="20"/>
      <c r="D91" s="20"/>
      <c r="E91" s="44"/>
      <c r="F91" s="50"/>
      <c r="G91" s="40"/>
    </row>
    <row r="92" spans="1:7" ht="15.75" thickBot="1" x14ac:dyDescent="0.3">
      <c r="A92" s="55" t="s">
        <v>7</v>
      </c>
      <c r="B92" s="55"/>
      <c r="C92" s="166" t="s">
        <v>148</v>
      </c>
      <c r="D92" s="166"/>
      <c r="E92" s="166"/>
      <c r="F92" s="166"/>
      <c r="G92" s="166"/>
    </row>
    <row r="93" spans="1:7" ht="15.75" thickBot="1" x14ac:dyDescent="0.3">
      <c r="A93" s="20"/>
      <c r="B93" s="20"/>
      <c r="C93" s="20"/>
      <c r="D93" s="20"/>
      <c r="E93" s="44"/>
      <c r="F93" s="50"/>
      <c r="G93" s="40"/>
    </row>
    <row r="94" spans="1:7" ht="15.75" thickBot="1" x14ac:dyDescent="0.3">
      <c r="A94" s="20" t="s">
        <v>8</v>
      </c>
      <c r="B94" s="32" t="s">
        <v>199</v>
      </c>
      <c r="C94" s="16" t="s">
        <v>198</v>
      </c>
      <c r="D94" s="20" t="s">
        <v>160</v>
      </c>
      <c r="E94" s="45">
        <v>1</v>
      </c>
      <c r="F94" s="51">
        <v>3.17</v>
      </c>
      <c r="G94" s="40">
        <f>F94*E94</f>
        <v>3.17</v>
      </c>
    </row>
    <row r="95" spans="1:7" ht="30.75" thickBot="1" x14ac:dyDescent="0.3">
      <c r="A95" s="20" t="s">
        <v>9</v>
      </c>
      <c r="B95" s="32">
        <v>90972</v>
      </c>
      <c r="C95" s="16" t="s">
        <v>200</v>
      </c>
      <c r="D95" s="20" t="s">
        <v>192</v>
      </c>
      <c r="E95" s="45">
        <v>1</v>
      </c>
      <c r="F95" s="46">
        <v>83.18</v>
      </c>
      <c r="G95" s="40">
        <f t="shared" ref="G95:G101" si="3">F95*E95</f>
        <v>83.18</v>
      </c>
    </row>
    <row r="96" spans="1:7" ht="15.75" thickBot="1" x14ac:dyDescent="0.3">
      <c r="A96" s="20" t="s">
        <v>10</v>
      </c>
      <c r="B96" s="32">
        <v>88322</v>
      </c>
      <c r="C96" s="16" t="s">
        <v>201</v>
      </c>
      <c r="D96" s="20" t="s">
        <v>160</v>
      </c>
      <c r="E96" s="45">
        <v>1</v>
      </c>
      <c r="F96" s="46">
        <v>19.899999999999999</v>
      </c>
      <c r="G96" s="40">
        <f t="shared" si="3"/>
        <v>19.899999999999999</v>
      </c>
    </row>
    <row r="97" spans="1:7" ht="15.75" thickBot="1" x14ac:dyDescent="0.3">
      <c r="A97" s="20" t="s">
        <v>146</v>
      </c>
      <c r="B97" s="32">
        <v>88292</v>
      </c>
      <c r="C97" s="16" t="s">
        <v>202</v>
      </c>
      <c r="D97" s="20" t="s">
        <v>160</v>
      </c>
      <c r="E97" s="45">
        <v>1</v>
      </c>
      <c r="F97" s="46">
        <v>17.66</v>
      </c>
      <c r="G97" s="40">
        <f t="shared" si="3"/>
        <v>17.66</v>
      </c>
    </row>
    <row r="98" spans="1:7" ht="15.75" thickBot="1" x14ac:dyDescent="0.3">
      <c r="A98" s="20" t="s">
        <v>149</v>
      </c>
      <c r="B98" s="32">
        <v>88243</v>
      </c>
      <c r="C98" s="16" t="s">
        <v>191</v>
      </c>
      <c r="D98" s="20" t="s">
        <v>160</v>
      </c>
      <c r="E98" s="45">
        <v>2</v>
      </c>
      <c r="F98" s="47">
        <v>15.86</v>
      </c>
      <c r="G98" s="40">
        <f t="shared" si="3"/>
        <v>31.72</v>
      </c>
    </row>
    <row r="99" spans="1:7" ht="30.75" thickBot="1" x14ac:dyDescent="0.3">
      <c r="A99" s="20" t="s">
        <v>152</v>
      </c>
      <c r="B99" s="32" t="s">
        <v>203</v>
      </c>
      <c r="C99" s="16" t="s">
        <v>204</v>
      </c>
      <c r="D99" s="20" t="s">
        <v>193</v>
      </c>
      <c r="E99" s="44">
        <v>0.15</v>
      </c>
      <c r="F99" s="47">
        <v>23</v>
      </c>
      <c r="G99" s="40">
        <f t="shared" si="3"/>
        <v>3.4499999999999997</v>
      </c>
    </row>
    <row r="100" spans="1:7" ht="15.75" thickBot="1" x14ac:dyDescent="0.3">
      <c r="A100" s="20" t="s">
        <v>154</v>
      </c>
      <c r="B100" s="32" t="s">
        <v>205</v>
      </c>
      <c r="C100" s="16" t="s">
        <v>206</v>
      </c>
      <c r="D100" s="20" t="s">
        <v>193</v>
      </c>
      <c r="E100" s="44">
        <v>9.65</v>
      </c>
      <c r="F100" s="47">
        <v>6.66</v>
      </c>
      <c r="G100" s="40">
        <f t="shared" si="3"/>
        <v>64.269000000000005</v>
      </c>
    </row>
    <row r="101" spans="1:7" ht="15.75" thickBot="1" x14ac:dyDescent="0.3">
      <c r="A101" s="20" t="s">
        <v>157</v>
      </c>
      <c r="B101" s="32" t="s">
        <v>207</v>
      </c>
      <c r="C101" s="16" t="s">
        <v>208</v>
      </c>
      <c r="D101" s="20" t="s">
        <v>184</v>
      </c>
      <c r="E101" s="48">
        <v>1.95</v>
      </c>
      <c r="F101" s="47">
        <v>33.76</v>
      </c>
      <c r="G101" s="40">
        <f t="shared" si="3"/>
        <v>65.831999999999994</v>
      </c>
    </row>
    <row r="102" spans="1:7" ht="15.75" thickBot="1" x14ac:dyDescent="0.3">
      <c r="A102" s="20"/>
      <c r="B102" s="20"/>
      <c r="C102" s="20"/>
      <c r="D102" s="20"/>
      <c r="E102" s="44"/>
      <c r="F102" s="50"/>
      <c r="G102" s="40"/>
    </row>
    <row r="103" spans="1:7" ht="15.75" thickBot="1" x14ac:dyDescent="0.3">
      <c r="A103" s="20"/>
      <c r="B103" s="20"/>
      <c r="C103" s="163" t="s">
        <v>187</v>
      </c>
      <c r="D103" s="167"/>
      <c r="E103" s="167"/>
      <c r="F103" s="167"/>
      <c r="G103" s="43">
        <f>SUM(G94:G101)</f>
        <v>289.18099999999998</v>
      </c>
    </row>
    <row r="105" spans="1:7" ht="15.75" thickBot="1" x14ac:dyDescent="0.3"/>
    <row r="106" spans="1:7" ht="24" thickBot="1" x14ac:dyDescent="0.3">
      <c r="A106" s="165" t="s">
        <v>363</v>
      </c>
      <c r="B106" s="165"/>
      <c r="C106" s="165"/>
      <c r="D106" s="165"/>
      <c r="E106" s="165"/>
      <c r="F106" s="165"/>
      <c r="G106" s="165"/>
    </row>
    <row r="107" spans="1:7" ht="15.75" thickBot="1" x14ac:dyDescent="0.3">
      <c r="A107" s="20"/>
      <c r="B107" s="20"/>
      <c r="C107" s="20"/>
      <c r="D107" s="20"/>
      <c r="E107" s="20"/>
      <c r="F107" s="40" t="s">
        <v>356</v>
      </c>
      <c r="G107" s="41">
        <v>0.27550000000000002</v>
      </c>
    </row>
    <row r="108" spans="1:7" ht="30.75" thickBot="1" x14ac:dyDescent="0.3">
      <c r="A108" s="55" t="s">
        <v>0</v>
      </c>
      <c r="B108" s="55" t="s">
        <v>1</v>
      </c>
      <c r="C108" s="55" t="s">
        <v>2</v>
      </c>
      <c r="D108" s="55" t="s">
        <v>3</v>
      </c>
      <c r="E108" s="42" t="s">
        <v>4</v>
      </c>
      <c r="F108" s="43" t="s">
        <v>5</v>
      </c>
      <c r="G108" s="43" t="s">
        <v>6</v>
      </c>
    </row>
    <row r="109" spans="1:7" ht="15.75" thickBot="1" x14ac:dyDescent="0.3">
      <c r="A109" s="20"/>
      <c r="B109" s="20"/>
      <c r="C109" s="20"/>
      <c r="D109" s="20"/>
      <c r="E109" s="44"/>
      <c r="F109" s="40"/>
      <c r="G109" s="40"/>
    </row>
    <row r="110" spans="1:7" ht="15.75" thickBot="1" x14ac:dyDescent="0.3">
      <c r="A110" s="55" t="s">
        <v>7</v>
      </c>
      <c r="B110" s="55"/>
      <c r="C110" s="166" t="s">
        <v>209</v>
      </c>
      <c r="D110" s="166"/>
      <c r="E110" s="166"/>
      <c r="F110" s="166"/>
      <c r="G110" s="166"/>
    </row>
    <row r="111" spans="1:7" ht="15.75" thickBot="1" x14ac:dyDescent="0.3">
      <c r="A111" s="20"/>
      <c r="B111" s="20"/>
      <c r="C111" s="20"/>
      <c r="D111" s="20"/>
      <c r="E111" s="44"/>
      <c r="F111" s="40"/>
      <c r="G111" s="40"/>
    </row>
    <row r="112" spans="1:7" ht="15.75" thickBot="1" x14ac:dyDescent="0.3">
      <c r="A112" s="20" t="s">
        <v>8</v>
      </c>
      <c r="B112" s="32" t="s">
        <v>199</v>
      </c>
      <c r="C112" s="16" t="s">
        <v>198</v>
      </c>
      <c r="D112" s="20" t="s">
        <v>160</v>
      </c>
      <c r="E112" s="45">
        <v>0.96</v>
      </c>
      <c r="F112" s="52">
        <v>3.17</v>
      </c>
      <c r="G112" s="40">
        <f>F112*E112</f>
        <v>3.0431999999999997</v>
      </c>
    </row>
    <row r="113" spans="1:7" ht="30.75" thickBot="1" x14ac:dyDescent="0.3">
      <c r="A113" s="20" t="s">
        <v>9</v>
      </c>
      <c r="B113" s="32">
        <v>90972</v>
      </c>
      <c r="C113" s="16" t="s">
        <v>200</v>
      </c>
      <c r="D113" s="20" t="s">
        <v>192</v>
      </c>
      <c r="E113" s="45">
        <v>0.96</v>
      </c>
      <c r="F113" s="46">
        <v>83.18</v>
      </c>
      <c r="G113" s="40">
        <f t="shared" ref="G113:G119" si="4">F113*E113</f>
        <v>79.852800000000002</v>
      </c>
    </row>
    <row r="114" spans="1:7" ht="15.75" thickBot="1" x14ac:dyDescent="0.3">
      <c r="A114" s="20" t="s">
        <v>10</v>
      </c>
      <c r="B114" s="32">
        <v>88322</v>
      </c>
      <c r="C114" s="16" t="s">
        <v>201</v>
      </c>
      <c r="D114" s="20" t="s">
        <v>160</v>
      </c>
      <c r="E114" s="45">
        <v>0.96</v>
      </c>
      <c r="F114" s="46">
        <v>19.899999999999999</v>
      </c>
      <c r="G114" s="40">
        <f t="shared" si="4"/>
        <v>19.103999999999999</v>
      </c>
    </row>
    <row r="115" spans="1:7" ht="15.75" thickBot="1" x14ac:dyDescent="0.3">
      <c r="A115" s="20" t="s">
        <v>146</v>
      </c>
      <c r="B115" s="32">
        <v>88292</v>
      </c>
      <c r="C115" s="16" t="s">
        <v>202</v>
      </c>
      <c r="D115" s="20" t="s">
        <v>160</v>
      </c>
      <c r="E115" s="45">
        <v>0.96</v>
      </c>
      <c r="F115" s="46">
        <v>17.66</v>
      </c>
      <c r="G115" s="40">
        <f t="shared" si="4"/>
        <v>16.953599999999998</v>
      </c>
    </row>
    <row r="116" spans="1:7" ht="15.75" thickBot="1" x14ac:dyDescent="0.3">
      <c r="A116" s="20" t="s">
        <v>149</v>
      </c>
      <c r="B116" s="32">
        <v>88243</v>
      </c>
      <c r="C116" s="16" t="s">
        <v>191</v>
      </c>
      <c r="D116" s="20" t="s">
        <v>160</v>
      </c>
      <c r="E116" s="45">
        <v>1.92</v>
      </c>
      <c r="F116" s="47">
        <v>15.86</v>
      </c>
      <c r="G116" s="40">
        <f t="shared" si="4"/>
        <v>30.451199999999996</v>
      </c>
    </row>
    <row r="117" spans="1:7" ht="30.75" thickBot="1" x14ac:dyDescent="0.3">
      <c r="A117" s="20" t="s">
        <v>152</v>
      </c>
      <c r="B117" s="32" t="s">
        <v>203</v>
      </c>
      <c r="C117" s="16" t="s">
        <v>204</v>
      </c>
      <c r="D117" s="20" t="s">
        <v>193</v>
      </c>
      <c r="E117" s="44">
        <v>0.12</v>
      </c>
      <c r="F117" s="47">
        <v>23</v>
      </c>
      <c r="G117" s="40">
        <f t="shared" si="4"/>
        <v>2.76</v>
      </c>
    </row>
    <row r="118" spans="1:7" ht="15.75" thickBot="1" x14ac:dyDescent="0.3">
      <c r="A118" s="20" t="s">
        <v>154</v>
      </c>
      <c r="B118" s="32" t="s">
        <v>205</v>
      </c>
      <c r="C118" s="16" t="s">
        <v>206</v>
      </c>
      <c r="D118" s="20" t="s">
        <v>193</v>
      </c>
      <c r="E118" s="44">
        <v>10.85</v>
      </c>
      <c r="F118" s="47">
        <v>6.66</v>
      </c>
      <c r="G118" s="40">
        <f t="shared" si="4"/>
        <v>72.260999999999996</v>
      </c>
    </row>
    <row r="119" spans="1:7" ht="15.75" thickBot="1" x14ac:dyDescent="0.3">
      <c r="A119" s="20" t="s">
        <v>157</v>
      </c>
      <c r="B119" s="32" t="s">
        <v>207</v>
      </c>
      <c r="C119" s="16" t="s">
        <v>208</v>
      </c>
      <c r="D119" s="20" t="s">
        <v>184</v>
      </c>
      <c r="E119" s="48">
        <v>1.95</v>
      </c>
      <c r="F119" s="47">
        <v>33.76</v>
      </c>
      <c r="G119" s="40">
        <f t="shared" si="4"/>
        <v>65.831999999999994</v>
      </c>
    </row>
    <row r="120" spans="1:7" ht="15.75" thickBot="1" x14ac:dyDescent="0.3">
      <c r="A120" s="20"/>
      <c r="B120" s="20"/>
      <c r="C120" s="20"/>
      <c r="D120" s="20"/>
      <c r="E120" s="44"/>
      <c r="F120" s="40"/>
      <c r="G120" s="40"/>
    </row>
    <row r="121" spans="1:7" ht="15.75" thickBot="1" x14ac:dyDescent="0.3">
      <c r="A121" s="20"/>
      <c r="B121" s="20"/>
      <c r="C121" s="163" t="s">
        <v>187</v>
      </c>
      <c r="D121" s="167"/>
      <c r="E121" s="167"/>
      <c r="F121" s="167"/>
      <c r="G121" s="43">
        <f>SUM(G112:G119)</f>
        <v>290.25779999999997</v>
      </c>
    </row>
    <row r="123" spans="1:7" ht="15.75" thickBot="1" x14ac:dyDescent="0.3"/>
    <row r="124" spans="1:7" ht="24" thickBot="1" x14ac:dyDescent="0.3">
      <c r="A124" s="165" t="s">
        <v>364</v>
      </c>
      <c r="B124" s="165"/>
      <c r="C124" s="165"/>
      <c r="D124" s="165"/>
      <c r="E124" s="165"/>
      <c r="F124" s="165"/>
      <c r="G124" s="165"/>
    </row>
    <row r="125" spans="1:7" ht="15.75" thickBot="1" x14ac:dyDescent="0.3">
      <c r="A125" s="20"/>
      <c r="B125" s="20"/>
      <c r="C125" s="20"/>
      <c r="D125" s="20"/>
      <c r="E125" s="20"/>
      <c r="F125" s="40" t="s">
        <v>356</v>
      </c>
      <c r="G125" s="41">
        <f>BDI!B154</f>
        <v>0</v>
      </c>
    </row>
    <row r="126" spans="1:7" ht="30.75" thickBot="1" x14ac:dyDescent="0.3">
      <c r="A126" s="55" t="s">
        <v>0</v>
      </c>
      <c r="B126" s="55" t="s">
        <v>1</v>
      </c>
      <c r="C126" s="55" t="s">
        <v>2</v>
      </c>
      <c r="D126" s="55" t="s">
        <v>3</v>
      </c>
      <c r="E126" s="42" t="s">
        <v>4</v>
      </c>
      <c r="F126" s="43" t="s">
        <v>5</v>
      </c>
      <c r="G126" s="43" t="s">
        <v>6</v>
      </c>
    </row>
    <row r="127" spans="1:7" ht="15.75" thickBot="1" x14ac:dyDescent="0.3">
      <c r="A127" s="20"/>
      <c r="B127" s="20"/>
      <c r="C127" s="20"/>
      <c r="D127" s="20"/>
      <c r="E127" s="44"/>
      <c r="F127" s="40"/>
      <c r="G127" s="40"/>
    </row>
    <row r="128" spans="1:7" ht="15.75" thickBot="1" x14ac:dyDescent="0.3">
      <c r="A128" s="55" t="s">
        <v>7</v>
      </c>
      <c r="B128" s="55"/>
      <c r="C128" s="166" t="s">
        <v>210</v>
      </c>
      <c r="D128" s="166"/>
      <c r="E128" s="166"/>
      <c r="F128" s="166"/>
      <c r="G128" s="166"/>
    </row>
    <row r="129" spans="1:7" ht="15.75" thickBot="1" x14ac:dyDescent="0.3">
      <c r="A129" s="20"/>
      <c r="B129" s="20"/>
      <c r="C129" s="20"/>
      <c r="D129" s="20"/>
      <c r="E129" s="44"/>
      <c r="F129" s="40"/>
      <c r="G129" s="40"/>
    </row>
    <row r="130" spans="1:7" ht="15.75" thickBot="1" x14ac:dyDescent="0.3">
      <c r="A130" s="20" t="s">
        <v>8</v>
      </c>
      <c r="B130" s="32" t="s">
        <v>199</v>
      </c>
      <c r="C130" s="16" t="s">
        <v>198</v>
      </c>
      <c r="D130" s="20" t="s">
        <v>160</v>
      </c>
      <c r="E130" s="45">
        <v>1</v>
      </c>
      <c r="F130" s="52">
        <v>3.17</v>
      </c>
      <c r="G130" s="40">
        <f>F130*E130</f>
        <v>3.17</v>
      </c>
    </row>
    <row r="131" spans="1:7" ht="30.75" thickBot="1" x14ac:dyDescent="0.3">
      <c r="A131" s="20" t="s">
        <v>9</v>
      </c>
      <c r="B131" s="32">
        <v>90972</v>
      </c>
      <c r="C131" s="16" t="s">
        <v>200</v>
      </c>
      <c r="D131" s="20" t="s">
        <v>192</v>
      </c>
      <c r="E131" s="45">
        <v>1</v>
      </c>
      <c r="F131" s="46">
        <v>83.18</v>
      </c>
      <c r="G131" s="40">
        <f t="shared" ref="G131:G136" si="5">F131*E131</f>
        <v>83.18</v>
      </c>
    </row>
    <row r="132" spans="1:7" ht="15.75" thickBot="1" x14ac:dyDescent="0.3">
      <c r="A132" s="20" t="s">
        <v>10</v>
      </c>
      <c r="B132" s="32">
        <v>88322</v>
      </c>
      <c r="C132" s="16" t="s">
        <v>201</v>
      </c>
      <c r="D132" s="20" t="s">
        <v>160</v>
      </c>
      <c r="E132" s="45">
        <v>1</v>
      </c>
      <c r="F132" s="46">
        <v>19.899999999999999</v>
      </c>
      <c r="G132" s="40">
        <f t="shared" si="5"/>
        <v>19.899999999999999</v>
      </c>
    </row>
    <row r="133" spans="1:7" ht="15.75" thickBot="1" x14ac:dyDescent="0.3">
      <c r="A133" s="20" t="s">
        <v>146</v>
      </c>
      <c r="B133" s="32">
        <v>88292</v>
      </c>
      <c r="C133" s="16" t="s">
        <v>202</v>
      </c>
      <c r="D133" s="20" t="s">
        <v>160</v>
      </c>
      <c r="E133" s="45">
        <v>1</v>
      </c>
      <c r="F133" s="46">
        <v>17.66</v>
      </c>
      <c r="G133" s="40">
        <f t="shared" si="5"/>
        <v>17.66</v>
      </c>
    </row>
    <row r="134" spans="1:7" ht="15.75" thickBot="1" x14ac:dyDescent="0.3">
      <c r="A134" s="20" t="s">
        <v>149</v>
      </c>
      <c r="B134" s="32">
        <v>88243</v>
      </c>
      <c r="C134" s="16" t="s">
        <v>191</v>
      </c>
      <c r="D134" s="20" t="s">
        <v>160</v>
      </c>
      <c r="E134" s="45">
        <v>2</v>
      </c>
      <c r="F134" s="47">
        <v>15.86</v>
      </c>
      <c r="G134" s="40">
        <f t="shared" si="5"/>
        <v>31.72</v>
      </c>
    </row>
    <row r="135" spans="1:7" ht="30.75" thickBot="1" x14ac:dyDescent="0.3">
      <c r="A135" s="20" t="s">
        <v>152</v>
      </c>
      <c r="B135" s="32" t="s">
        <v>203</v>
      </c>
      <c r="C135" s="16" t="s">
        <v>204</v>
      </c>
      <c r="D135" s="20" t="s">
        <v>193</v>
      </c>
      <c r="E135" s="44">
        <v>1.724</v>
      </c>
      <c r="F135" s="47">
        <v>23</v>
      </c>
      <c r="G135" s="40">
        <f t="shared" si="5"/>
        <v>39.652000000000001</v>
      </c>
    </row>
    <row r="136" spans="1:7" ht="15.75" thickBot="1" x14ac:dyDescent="0.3">
      <c r="A136" s="20" t="s">
        <v>154</v>
      </c>
      <c r="B136" s="32" t="s">
        <v>205</v>
      </c>
      <c r="C136" s="16" t="s">
        <v>206</v>
      </c>
      <c r="D136" s="20" t="s">
        <v>193</v>
      </c>
      <c r="E136" s="44">
        <v>10.5</v>
      </c>
      <c r="F136" s="47">
        <v>6.66</v>
      </c>
      <c r="G136" s="40">
        <f t="shared" si="5"/>
        <v>69.930000000000007</v>
      </c>
    </row>
    <row r="137" spans="1:7" ht="15.75" thickBot="1" x14ac:dyDescent="0.3">
      <c r="A137" s="20"/>
      <c r="B137" s="20"/>
      <c r="C137" s="20"/>
      <c r="D137" s="20"/>
      <c r="E137" s="44"/>
      <c r="F137" s="47"/>
      <c r="G137" s="40"/>
    </row>
    <row r="138" spans="1:7" ht="15.75" thickBot="1" x14ac:dyDescent="0.3">
      <c r="A138" s="20"/>
      <c r="B138" s="20"/>
      <c r="C138" s="163" t="s">
        <v>187</v>
      </c>
      <c r="D138" s="167"/>
      <c r="E138" s="167"/>
      <c r="F138" s="167"/>
      <c r="G138" s="43">
        <f>SUM(G130:G136)</f>
        <v>265.21199999999999</v>
      </c>
    </row>
    <row r="140" spans="1:7" ht="15.75" thickBot="1" x14ac:dyDescent="0.3"/>
    <row r="141" spans="1:7" ht="24" thickBot="1" x14ac:dyDescent="0.3">
      <c r="A141" s="165" t="s">
        <v>365</v>
      </c>
      <c r="B141" s="165"/>
      <c r="C141" s="165"/>
      <c r="D141" s="165"/>
      <c r="E141" s="165"/>
      <c r="F141" s="165"/>
      <c r="G141" s="165"/>
    </row>
    <row r="142" spans="1:7" ht="15.75" thickBot="1" x14ac:dyDescent="0.3">
      <c r="A142" s="20"/>
      <c r="B142" s="20"/>
      <c r="C142" s="20"/>
      <c r="D142" s="20"/>
      <c r="E142" s="20"/>
      <c r="F142" s="40" t="s">
        <v>356</v>
      </c>
      <c r="G142" s="41">
        <v>0.27550000000000002</v>
      </c>
    </row>
    <row r="143" spans="1:7" ht="30.75" thickBot="1" x14ac:dyDescent="0.3">
      <c r="A143" s="55" t="s">
        <v>0</v>
      </c>
      <c r="B143" s="55" t="s">
        <v>1</v>
      </c>
      <c r="C143" s="55" t="s">
        <v>2</v>
      </c>
      <c r="D143" s="55" t="s">
        <v>3</v>
      </c>
      <c r="E143" s="42" t="s">
        <v>4</v>
      </c>
      <c r="F143" s="43" t="s">
        <v>5</v>
      </c>
      <c r="G143" s="43" t="s">
        <v>6</v>
      </c>
    </row>
    <row r="144" spans="1:7" ht="15.75" thickBot="1" x14ac:dyDescent="0.3">
      <c r="A144" s="20"/>
      <c r="B144" s="20"/>
      <c r="C144" s="20"/>
      <c r="D144" s="20"/>
      <c r="E144" s="44"/>
      <c r="F144" s="40"/>
      <c r="G144" s="40"/>
    </row>
    <row r="145" spans="1:7" ht="15.75" thickBot="1" x14ac:dyDescent="0.3">
      <c r="A145" s="55" t="s">
        <v>7</v>
      </c>
      <c r="B145" s="55"/>
      <c r="C145" s="166" t="s">
        <v>210</v>
      </c>
      <c r="D145" s="166"/>
      <c r="E145" s="166"/>
      <c r="F145" s="166"/>
      <c r="G145" s="166"/>
    </row>
    <row r="146" spans="1:7" ht="15.75" thickBot="1" x14ac:dyDescent="0.3">
      <c r="A146" s="20"/>
      <c r="B146" s="20"/>
      <c r="C146" s="20"/>
      <c r="D146" s="20"/>
      <c r="E146" s="44"/>
      <c r="F146" s="40"/>
      <c r="G146" s="40"/>
    </row>
    <row r="147" spans="1:7" ht="15.75" thickBot="1" x14ac:dyDescent="0.3">
      <c r="A147" s="20" t="s">
        <v>8</v>
      </c>
      <c r="B147" s="32" t="s">
        <v>150</v>
      </c>
      <c r="C147" s="15" t="s">
        <v>211</v>
      </c>
      <c r="D147" s="20" t="s">
        <v>15</v>
      </c>
      <c r="E147" s="45">
        <v>0.3</v>
      </c>
      <c r="F147" s="52">
        <v>167.5</v>
      </c>
      <c r="G147" s="40">
        <f>F147*E147</f>
        <v>50.25</v>
      </c>
    </row>
    <row r="148" spans="1:7" ht="15.75" thickBot="1" x14ac:dyDescent="0.3">
      <c r="A148" s="20" t="s">
        <v>9</v>
      </c>
      <c r="B148" s="32">
        <v>88267</v>
      </c>
      <c r="C148" s="15" t="s">
        <v>212</v>
      </c>
      <c r="D148" s="20" t="s">
        <v>160</v>
      </c>
      <c r="E148" s="45">
        <v>0.15</v>
      </c>
      <c r="F148" s="52">
        <v>18.96</v>
      </c>
      <c r="G148" s="40">
        <f t="shared" ref="G148:G150" si="6">F148*E148</f>
        <v>2.8439999999999999</v>
      </c>
    </row>
    <row r="149" spans="1:7" ht="15.75" thickBot="1" x14ac:dyDescent="0.3">
      <c r="A149" s="20" t="s">
        <v>10</v>
      </c>
      <c r="B149" s="32">
        <v>88248</v>
      </c>
      <c r="C149" s="15" t="s">
        <v>213</v>
      </c>
      <c r="D149" s="20" t="s">
        <v>160</v>
      </c>
      <c r="E149" s="45">
        <v>0.15</v>
      </c>
      <c r="F149" s="52">
        <v>15.03</v>
      </c>
      <c r="G149" s="40">
        <f t="shared" si="6"/>
        <v>2.2544999999999997</v>
      </c>
    </row>
    <row r="150" spans="1:7" ht="15.75" thickBot="1" x14ac:dyDescent="0.3">
      <c r="A150" s="20" t="s">
        <v>146</v>
      </c>
      <c r="B150" s="32" t="s">
        <v>207</v>
      </c>
      <c r="C150" s="16" t="s">
        <v>202</v>
      </c>
      <c r="D150" s="20" t="s">
        <v>184</v>
      </c>
      <c r="E150" s="45">
        <v>2.5000000000000001E-2</v>
      </c>
      <c r="F150" s="52">
        <v>33.76</v>
      </c>
      <c r="G150" s="40">
        <f t="shared" si="6"/>
        <v>0.84399999999999997</v>
      </c>
    </row>
    <row r="151" spans="1:7" ht="15.75" thickBot="1" x14ac:dyDescent="0.3">
      <c r="A151" s="20"/>
      <c r="B151" s="20"/>
      <c r="C151" s="20"/>
      <c r="D151" s="20"/>
      <c r="E151" s="44"/>
      <c r="F151" s="40"/>
      <c r="G151" s="40"/>
    </row>
    <row r="152" spans="1:7" ht="15.75" thickBot="1" x14ac:dyDescent="0.3">
      <c r="A152" s="20"/>
      <c r="B152" s="20"/>
      <c r="C152" s="163" t="s">
        <v>187</v>
      </c>
      <c r="D152" s="167"/>
      <c r="E152" s="167"/>
      <c r="F152" s="167"/>
      <c r="G152" s="43">
        <f>SUM(G147:G150)</f>
        <v>56.192500000000003</v>
      </c>
    </row>
    <row r="154" spans="1:7" ht="15.75" thickBot="1" x14ac:dyDescent="0.3"/>
    <row r="155" spans="1:7" ht="24" thickBot="1" x14ac:dyDescent="0.3">
      <c r="A155" s="165" t="s">
        <v>366</v>
      </c>
      <c r="B155" s="165"/>
      <c r="C155" s="165"/>
      <c r="D155" s="165"/>
      <c r="E155" s="165"/>
      <c r="F155" s="165"/>
      <c r="G155" s="165"/>
    </row>
    <row r="156" spans="1:7" ht="15.75" thickBot="1" x14ac:dyDescent="0.3">
      <c r="A156" s="20"/>
      <c r="B156" s="20"/>
      <c r="C156" s="20"/>
      <c r="D156" s="20"/>
      <c r="E156" s="20"/>
      <c r="F156" s="40" t="s">
        <v>356</v>
      </c>
      <c r="G156" s="41">
        <v>0.27550000000000002</v>
      </c>
    </row>
    <row r="157" spans="1:7" ht="30.75" thickBot="1" x14ac:dyDescent="0.3">
      <c r="A157" s="55" t="s">
        <v>0</v>
      </c>
      <c r="B157" s="53" t="s">
        <v>1</v>
      </c>
      <c r="C157" s="55" t="s">
        <v>2</v>
      </c>
      <c r="D157" s="55" t="s">
        <v>3</v>
      </c>
      <c r="E157" s="42" t="s">
        <v>4</v>
      </c>
      <c r="F157" s="43" t="s">
        <v>5</v>
      </c>
      <c r="G157" s="43" t="s">
        <v>6</v>
      </c>
    </row>
    <row r="158" spans="1:7" ht="15.75" thickBot="1" x14ac:dyDescent="0.3">
      <c r="A158" s="20"/>
      <c r="B158" s="54"/>
      <c r="C158" s="20"/>
      <c r="D158" s="20"/>
      <c r="E158" s="44"/>
      <c r="F158" s="40"/>
      <c r="G158" s="40"/>
    </row>
    <row r="159" spans="1:7" ht="15.75" thickBot="1" x14ac:dyDescent="0.3">
      <c r="A159" s="55" t="s">
        <v>7</v>
      </c>
      <c r="B159" s="53"/>
      <c r="C159" s="166" t="s">
        <v>214</v>
      </c>
      <c r="D159" s="166"/>
      <c r="E159" s="166"/>
      <c r="F159" s="166"/>
      <c r="G159" s="166"/>
    </row>
    <row r="160" spans="1:7" ht="15.75" thickBot="1" x14ac:dyDescent="0.3">
      <c r="A160" s="20"/>
      <c r="B160" s="54"/>
      <c r="C160" s="20"/>
      <c r="D160" s="20"/>
      <c r="E160" s="44"/>
      <c r="F160" s="40"/>
      <c r="G160" s="40"/>
    </row>
    <row r="161" spans="1:7" ht="15.75" thickBot="1" x14ac:dyDescent="0.3">
      <c r="A161" s="20" t="s">
        <v>8</v>
      </c>
      <c r="B161" s="31">
        <v>90972</v>
      </c>
      <c r="C161" s="15" t="s">
        <v>200</v>
      </c>
      <c r="D161" s="20" t="s">
        <v>192</v>
      </c>
      <c r="E161" s="45">
        <v>1.5</v>
      </c>
      <c r="F161" s="46">
        <v>83.18</v>
      </c>
      <c r="G161" s="40">
        <f>F161*E161</f>
        <v>124.77000000000001</v>
      </c>
    </row>
    <row r="162" spans="1:7" ht="15.75" thickBot="1" x14ac:dyDescent="0.3">
      <c r="A162" s="20" t="s">
        <v>9</v>
      </c>
      <c r="B162" s="31">
        <v>88292</v>
      </c>
      <c r="C162" s="15" t="s">
        <v>202</v>
      </c>
      <c r="D162" s="20" t="s">
        <v>160</v>
      </c>
      <c r="E162" s="45">
        <v>1.5</v>
      </c>
      <c r="F162" s="46">
        <v>17.66</v>
      </c>
      <c r="G162" s="40">
        <f t="shared" ref="G162:G165" si="7">F162*E162</f>
        <v>26.490000000000002</v>
      </c>
    </row>
    <row r="163" spans="1:7" ht="15.75" thickBot="1" x14ac:dyDescent="0.3">
      <c r="A163" s="20" t="s">
        <v>10</v>
      </c>
      <c r="B163" s="31">
        <v>88243</v>
      </c>
      <c r="C163" s="15" t="s">
        <v>191</v>
      </c>
      <c r="D163" s="20" t="s">
        <v>160</v>
      </c>
      <c r="E163" s="45">
        <v>3</v>
      </c>
      <c r="F163" s="47">
        <v>15.86</v>
      </c>
      <c r="G163" s="40">
        <f t="shared" si="7"/>
        <v>47.58</v>
      </c>
    </row>
    <row r="164" spans="1:7" ht="15.75" thickBot="1" x14ac:dyDescent="0.3">
      <c r="A164" s="20" t="s">
        <v>146</v>
      </c>
      <c r="B164" s="31" t="s">
        <v>205</v>
      </c>
      <c r="C164" s="15" t="s">
        <v>206</v>
      </c>
      <c r="D164" s="20" t="s">
        <v>217</v>
      </c>
      <c r="E164" s="45">
        <v>4.25</v>
      </c>
      <c r="F164" s="52">
        <v>6.66</v>
      </c>
      <c r="G164" s="40">
        <f t="shared" si="7"/>
        <v>28.305</v>
      </c>
    </row>
    <row r="165" spans="1:7" ht="15.75" thickBot="1" x14ac:dyDescent="0.3">
      <c r="A165" s="20" t="s">
        <v>149</v>
      </c>
      <c r="B165" s="31" t="s">
        <v>215</v>
      </c>
      <c r="C165" s="15" t="s">
        <v>216</v>
      </c>
      <c r="D165" s="20" t="s">
        <v>184</v>
      </c>
      <c r="E165" s="45">
        <v>25</v>
      </c>
      <c r="F165" s="40">
        <v>0.56999999999999995</v>
      </c>
      <c r="G165" s="40">
        <f t="shared" si="7"/>
        <v>14.249999999999998</v>
      </c>
    </row>
    <row r="166" spans="1:7" ht="15.75" thickBot="1" x14ac:dyDescent="0.3">
      <c r="A166" s="20"/>
      <c r="B166" s="54"/>
      <c r="C166" s="20"/>
      <c r="D166" s="20"/>
      <c r="E166" s="44"/>
      <c r="F166" s="40"/>
      <c r="G166" s="40"/>
    </row>
    <row r="167" spans="1:7" ht="15.75" thickBot="1" x14ac:dyDescent="0.3">
      <c r="A167" s="20"/>
      <c r="B167" s="54"/>
      <c r="C167" s="163" t="s">
        <v>187</v>
      </c>
      <c r="D167" s="167"/>
      <c r="E167" s="167"/>
      <c r="F167" s="167"/>
      <c r="G167" s="43">
        <f>SUM(G161:G165)</f>
        <v>241.39500000000004</v>
      </c>
    </row>
    <row r="169" spans="1:7" ht="15.75" thickBot="1" x14ac:dyDescent="0.3"/>
    <row r="170" spans="1:7" ht="24" thickBot="1" x14ac:dyDescent="0.3">
      <c r="A170" s="165" t="s">
        <v>367</v>
      </c>
      <c r="B170" s="165"/>
      <c r="C170" s="165"/>
      <c r="D170" s="165"/>
      <c r="E170" s="165"/>
      <c r="F170" s="165"/>
      <c r="G170" s="165"/>
    </row>
    <row r="171" spans="1:7" ht="15.75" thickBot="1" x14ac:dyDescent="0.3">
      <c r="A171" s="20"/>
      <c r="B171" s="20"/>
      <c r="C171" s="20"/>
      <c r="D171" s="20"/>
      <c r="E171" s="20"/>
      <c r="F171" s="40" t="s">
        <v>356</v>
      </c>
      <c r="G171" s="41">
        <v>0.27550000000000002</v>
      </c>
    </row>
    <row r="172" spans="1:7" ht="30.75" thickBot="1" x14ac:dyDescent="0.3">
      <c r="A172" s="55" t="s">
        <v>0</v>
      </c>
      <c r="B172" s="53" t="s">
        <v>1</v>
      </c>
      <c r="C172" s="55" t="s">
        <v>2</v>
      </c>
      <c r="D172" s="55" t="s">
        <v>3</v>
      </c>
      <c r="E172" s="42" t="s">
        <v>4</v>
      </c>
      <c r="F172" s="43" t="s">
        <v>5</v>
      </c>
      <c r="G172" s="43" t="s">
        <v>6</v>
      </c>
    </row>
    <row r="173" spans="1:7" ht="15.75" thickBot="1" x14ac:dyDescent="0.3">
      <c r="A173" s="20"/>
      <c r="B173" s="54"/>
      <c r="C173" s="20"/>
      <c r="D173" s="20"/>
      <c r="E173" s="44"/>
      <c r="F173" s="40"/>
      <c r="G173" s="40"/>
    </row>
    <row r="174" spans="1:7" ht="15.75" thickBot="1" x14ac:dyDescent="0.3">
      <c r="A174" s="55" t="s">
        <v>7</v>
      </c>
      <c r="B174" s="53"/>
      <c r="C174" s="166" t="s">
        <v>218</v>
      </c>
      <c r="D174" s="166"/>
      <c r="E174" s="166"/>
      <c r="F174" s="166"/>
      <c r="G174" s="166"/>
    </row>
    <row r="175" spans="1:7" ht="15.75" thickBot="1" x14ac:dyDescent="0.3">
      <c r="A175" s="20"/>
      <c r="B175" s="54"/>
      <c r="C175" s="20"/>
      <c r="D175" s="20"/>
      <c r="E175" s="44"/>
      <c r="F175" s="40"/>
      <c r="G175" s="40"/>
    </row>
    <row r="176" spans="1:7" ht="15.75" thickBot="1" x14ac:dyDescent="0.3">
      <c r="A176" s="20" t="s">
        <v>8</v>
      </c>
      <c r="B176" s="31">
        <v>90972</v>
      </c>
      <c r="C176" s="15" t="s">
        <v>200</v>
      </c>
      <c r="D176" s="20" t="s">
        <v>192</v>
      </c>
      <c r="E176" s="45">
        <v>1</v>
      </c>
      <c r="F176" s="46">
        <v>83.18</v>
      </c>
      <c r="G176" s="40">
        <f>F176*E176</f>
        <v>83.18</v>
      </c>
    </row>
    <row r="177" spans="1:7" ht="15.75" thickBot="1" x14ac:dyDescent="0.3">
      <c r="A177" s="20" t="s">
        <v>9</v>
      </c>
      <c r="B177" s="31">
        <v>88292</v>
      </c>
      <c r="C177" s="15" t="s">
        <v>202</v>
      </c>
      <c r="D177" s="20" t="s">
        <v>160</v>
      </c>
      <c r="E177" s="45">
        <v>1</v>
      </c>
      <c r="F177" s="46">
        <v>17.66</v>
      </c>
      <c r="G177" s="40">
        <f t="shared" ref="G177:G179" si="8">F177*E177</f>
        <v>17.66</v>
      </c>
    </row>
    <row r="178" spans="1:7" ht="15.75" thickBot="1" x14ac:dyDescent="0.3">
      <c r="A178" s="20" t="s">
        <v>10</v>
      </c>
      <c r="B178" s="31">
        <v>88243</v>
      </c>
      <c r="C178" s="15" t="s">
        <v>191</v>
      </c>
      <c r="D178" s="20" t="s">
        <v>160</v>
      </c>
      <c r="E178" s="45">
        <v>2</v>
      </c>
      <c r="F178" s="47">
        <v>15.86</v>
      </c>
      <c r="G178" s="40">
        <f t="shared" si="8"/>
        <v>31.72</v>
      </c>
    </row>
    <row r="179" spans="1:7" ht="15.75" thickBot="1" x14ac:dyDescent="0.3">
      <c r="A179" s="20" t="s">
        <v>146</v>
      </c>
      <c r="B179" s="31" t="s">
        <v>205</v>
      </c>
      <c r="C179" s="15" t="s">
        <v>206</v>
      </c>
      <c r="D179" s="20" t="s">
        <v>193</v>
      </c>
      <c r="E179" s="45">
        <v>4.25</v>
      </c>
      <c r="F179" s="52">
        <v>6.66</v>
      </c>
      <c r="G179" s="40">
        <f t="shared" si="8"/>
        <v>28.305</v>
      </c>
    </row>
    <row r="180" spans="1:7" ht="15.75" thickBot="1" x14ac:dyDescent="0.3">
      <c r="A180" s="20"/>
      <c r="B180" s="54"/>
      <c r="C180" s="20"/>
      <c r="D180" s="20"/>
      <c r="E180" s="44"/>
      <c r="F180" s="40"/>
      <c r="G180" s="40"/>
    </row>
    <row r="181" spans="1:7" ht="15.75" thickBot="1" x14ac:dyDescent="0.3">
      <c r="A181" s="20"/>
      <c r="B181" s="54"/>
      <c r="C181" s="163" t="s">
        <v>187</v>
      </c>
      <c r="D181" s="167"/>
      <c r="E181" s="167"/>
      <c r="F181" s="167"/>
      <c r="G181" s="43">
        <f>SUM(G176:G179)</f>
        <v>160.86500000000001</v>
      </c>
    </row>
    <row r="183" spans="1:7" ht="15.75" thickBot="1" x14ac:dyDescent="0.3"/>
    <row r="184" spans="1:7" ht="24" thickBot="1" x14ac:dyDescent="0.3">
      <c r="A184" s="165" t="s">
        <v>368</v>
      </c>
      <c r="B184" s="165"/>
      <c r="C184" s="165"/>
      <c r="D184" s="165"/>
      <c r="E184" s="165"/>
      <c r="F184" s="165"/>
      <c r="G184" s="165"/>
    </row>
    <row r="185" spans="1:7" ht="15.75" thickBot="1" x14ac:dyDescent="0.3">
      <c r="A185" s="20"/>
      <c r="B185" s="20"/>
      <c r="C185" s="20"/>
      <c r="D185" s="20"/>
      <c r="E185" s="20"/>
      <c r="F185" s="40" t="s">
        <v>356</v>
      </c>
      <c r="G185" s="41">
        <v>0.27550000000000002</v>
      </c>
    </row>
    <row r="186" spans="1:7" ht="30.75" thickBot="1" x14ac:dyDescent="0.3">
      <c r="A186" s="55" t="s">
        <v>0</v>
      </c>
      <c r="B186" s="53" t="s">
        <v>1</v>
      </c>
      <c r="C186" s="55" t="s">
        <v>2</v>
      </c>
      <c r="D186" s="55" t="s">
        <v>3</v>
      </c>
      <c r="E186" s="42" t="s">
        <v>4</v>
      </c>
      <c r="F186" s="43" t="s">
        <v>5</v>
      </c>
      <c r="G186" s="43" t="s">
        <v>6</v>
      </c>
    </row>
    <row r="187" spans="1:7" ht="15.75" thickBot="1" x14ac:dyDescent="0.3">
      <c r="A187" s="20"/>
      <c r="B187" s="54"/>
      <c r="C187" s="20"/>
      <c r="D187" s="20"/>
      <c r="E187" s="44"/>
      <c r="F187" s="40"/>
      <c r="G187" s="40"/>
    </row>
    <row r="188" spans="1:7" ht="15.75" thickBot="1" x14ac:dyDescent="0.3">
      <c r="A188" s="55" t="s">
        <v>7</v>
      </c>
      <c r="B188" s="53"/>
      <c r="C188" s="166" t="s">
        <v>218</v>
      </c>
      <c r="D188" s="166"/>
      <c r="E188" s="166"/>
      <c r="F188" s="166"/>
      <c r="G188" s="166"/>
    </row>
    <row r="189" spans="1:7" ht="15.75" thickBot="1" x14ac:dyDescent="0.3">
      <c r="A189" s="20"/>
      <c r="B189" s="54"/>
      <c r="C189" s="20"/>
      <c r="D189" s="20"/>
      <c r="E189" s="44"/>
      <c r="F189" s="40"/>
      <c r="G189" s="40"/>
    </row>
    <row r="190" spans="1:7" ht="15.75" thickBot="1" x14ac:dyDescent="0.3">
      <c r="A190" s="20" t="s">
        <v>8</v>
      </c>
      <c r="B190" s="31" t="s">
        <v>220</v>
      </c>
      <c r="C190" s="15" t="s">
        <v>219</v>
      </c>
      <c r="D190" s="20" t="s">
        <v>18</v>
      </c>
      <c r="E190" s="45">
        <v>1</v>
      </c>
      <c r="F190" s="52">
        <v>127.09</v>
      </c>
      <c r="G190" s="40">
        <f>F190*E190</f>
        <v>127.09</v>
      </c>
    </row>
    <row r="191" spans="1:7" ht="15.75" thickBot="1" x14ac:dyDescent="0.3">
      <c r="A191" s="20" t="s">
        <v>9</v>
      </c>
      <c r="B191" s="31">
        <v>88292</v>
      </c>
      <c r="C191" s="15" t="s">
        <v>202</v>
      </c>
      <c r="D191" s="20" t="s">
        <v>160</v>
      </c>
      <c r="E191" s="45">
        <v>0.11849999999999999</v>
      </c>
      <c r="F191" s="46">
        <v>17.66</v>
      </c>
      <c r="G191" s="40">
        <f t="shared" ref="G191:G192" si="9">F191*E191</f>
        <v>2.0927099999999998</v>
      </c>
    </row>
    <row r="192" spans="1:7" ht="15.75" thickBot="1" x14ac:dyDescent="0.3">
      <c r="A192" s="20" t="s">
        <v>10</v>
      </c>
      <c r="B192" s="31">
        <v>88243</v>
      </c>
      <c r="C192" s="15" t="s">
        <v>191</v>
      </c>
      <c r="D192" s="20" t="s">
        <v>160</v>
      </c>
      <c r="E192" s="45">
        <v>0.12</v>
      </c>
      <c r="F192" s="47">
        <v>15.86</v>
      </c>
      <c r="G192" s="40">
        <f t="shared" si="9"/>
        <v>1.9031999999999998</v>
      </c>
    </row>
    <row r="193" spans="1:7" ht="15.75" thickBot="1" x14ac:dyDescent="0.3">
      <c r="A193" s="20"/>
      <c r="B193" s="54"/>
      <c r="C193" s="20"/>
      <c r="D193" s="20"/>
      <c r="E193" s="44" t="s">
        <v>373</v>
      </c>
      <c r="F193" s="40"/>
      <c r="G193" s="40"/>
    </row>
    <row r="194" spans="1:7" ht="15.75" thickBot="1" x14ac:dyDescent="0.3">
      <c r="A194" s="20"/>
      <c r="B194" s="54"/>
      <c r="C194" s="163" t="s">
        <v>187</v>
      </c>
      <c r="D194" s="167"/>
      <c r="E194" s="167"/>
      <c r="F194" s="167"/>
      <c r="G194" s="43">
        <f>SUM(G190:G192)</f>
        <v>131.08591000000001</v>
      </c>
    </row>
    <row r="196" spans="1:7" ht="15.75" thickBot="1" x14ac:dyDescent="0.3"/>
    <row r="197" spans="1:7" ht="24" thickBot="1" x14ac:dyDescent="0.3">
      <c r="A197" s="165" t="s">
        <v>369</v>
      </c>
      <c r="B197" s="165"/>
      <c r="C197" s="165"/>
      <c r="D197" s="165"/>
      <c r="E197" s="165"/>
      <c r="F197" s="165"/>
      <c r="G197" s="165"/>
    </row>
    <row r="198" spans="1:7" ht="15.75" thickBot="1" x14ac:dyDescent="0.3">
      <c r="A198" s="20"/>
      <c r="B198" s="20"/>
      <c r="C198" s="20"/>
      <c r="D198" s="20"/>
      <c r="E198" s="20"/>
      <c r="F198" s="40" t="s">
        <v>356</v>
      </c>
      <c r="G198" s="41">
        <v>0.27550000000000002</v>
      </c>
    </row>
    <row r="199" spans="1:7" ht="30.75" thickBot="1" x14ac:dyDescent="0.3">
      <c r="A199" s="55" t="s">
        <v>0</v>
      </c>
      <c r="B199" s="55" t="s">
        <v>1</v>
      </c>
      <c r="C199" s="55" t="s">
        <v>2</v>
      </c>
      <c r="D199" s="55" t="s">
        <v>3</v>
      </c>
      <c r="E199" s="42" t="s">
        <v>4</v>
      </c>
      <c r="F199" s="43" t="s">
        <v>5</v>
      </c>
      <c r="G199" s="43" t="s">
        <v>6</v>
      </c>
    </row>
    <row r="200" spans="1:7" ht="15.75" thickBot="1" x14ac:dyDescent="0.3">
      <c r="A200" s="20"/>
      <c r="B200" s="20"/>
      <c r="C200" s="20"/>
      <c r="D200" s="20"/>
      <c r="E200" s="44"/>
      <c r="F200" s="40"/>
      <c r="G200" s="40"/>
    </row>
    <row r="201" spans="1:7" ht="15.75" thickBot="1" x14ac:dyDescent="0.3">
      <c r="A201" s="55" t="s">
        <v>7</v>
      </c>
      <c r="B201" s="55"/>
      <c r="C201" s="166" t="s">
        <v>254</v>
      </c>
      <c r="D201" s="166"/>
      <c r="E201" s="166"/>
      <c r="F201" s="166"/>
      <c r="G201" s="166"/>
    </row>
    <row r="202" spans="1:7" ht="15.75" thickBot="1" x14ac:dyDescent="0.3">
      <c r="A202" s="20"/>
      <c r="B202" s="20"/>
      <c r="C202" s="20"/>
      <c r="D202" s="20"/>
      <c r="E202" s="44"/>
      <c r="F202" s="40"/>
      <c r="G202" s="40"/>
    </row>
    <row r="203" spans="1:7" ht="45.75" thickBot="1" x14ac:dyDescent="0.3">
      <c r="A203" s="20" t="s">
        <v>8</v>
      </c>
      <c r="B203" s="32" t="s">
        <v>232</v>
      </c>
      <c r="C203" s="16" t="s">
        <v>233</v>
      </c>
      <c r="D203" s="20" t="s">
        <v>18</v>
      </c>
      <c r="E203" s="45">
        <v>1</v>
      </c>
      <c r="F203" s="51">
        <v>2985.84</v>
      </c>
      <c r="G203" s="40">
        <f>F203*E203</f>
        <v>2985.84</v>
      </c>
    </row>
    <row r="204" spans="1:7" ht="15.75" thickBot="1" x14ac:dyDescent="0.3">
      <c r="A204" s="20" t="s">
        <v>9</v>
      </c>
      <c r="B204" s="32" t="s">
        <v>220</v>
      </c>
      <c r="C204" s="16" t="s">
        <v>234</v>
      </c>
      <c r="D204" s="20" t="s">
        <v>18</v>
      </c>
      <c r="E204" s="45">
        <v>1</v>
      </c>
      <c r="F204" s="19">
        <v>58.25</v>
      </c>
      <c r="G204" s="40">
        <f t="shared" ref="G204:G210" si="10">F204*E204</f>
        <v>58.25</v>
      </c>
    </row>
    <row r="205" spans="1:7" ht="30.75" thickBot="1" x14ac:dyDescent="0.3">
      <c r="A205" s="20" t="s">
        <v>10</v>
      </c>
      <c r="B205" s="32" t="s">
        <v>235</v>
      </c>
      <c r="C205" s="16" t="s">
        <v>236</v>
      </c>
      <c r="D205" s="20" t="s">
        <v>18</v>
      </c>
      <c r="E205" s="45">
        <v>1</v>
      </c>
      <c r="F205" s="51">
        <v>30.41</v>
      </c>
      <c r="G205" s="40">
        <f t="shared" si="10"/>
        <v>30.41</v>
      </c>
    </row>
    <row r="206" spans="1:7" ht="15.75" thickBot="1" x14ac:dyDescent="0.3">
      <c r="A206" s="20" t="s">
        <v>146</v>
      </c>
      <c r="B206" s="32" t="s">
        <v>237</v>
      </c>
      <c r="C206" s="16" t="s">
        <v>238</v>
      </c>
      <c r="D206" s="20" t="s">
        <v>18</v>
      </c>
      <c r="E206" s="45">
        <v>1</v>
      </c>
      <c r="F206" s="51">
        <v>83.2</v>
      </c>
      <c r="G206" s="40">
        <f t="shared" si="10"/>
        <v>83.2</v>
      </c>
    </row>
    <row r="207" spans="1:7" ht="15.75" thickBot="1" x14ac:dyDescent="0.3">
      <c r="A207" s="20" t="s">
        <v>149</v>
      </c>
      <c r="B207" s="32" t="s">
        <v>239</v>
      </c>
      <c r="C207" s="16" t="s">
        <v>240</v>
      </c>
      <c r="D207" s="20" t="s">
        <v>18</v>
      </c>
      <c r="E207" s="45">
        <v>2</v>
      </c>
      <c r="F207" s="40">
        <v>36.24</v>
      </c>
      <c r="G207" s="40">
        <f t="shared" si="10"/>
        <v>72.48</v>
      </c>
    </row>
    <row r="208" spans="1:7" ht="15.75" thickBot="1" x14ac:dyDescent="0.3">
      <c r="A208" s="20" t="s">
        <v>152</v>
      </c>
      <c r="B208" s="32" t="s">
        <v>241</v>
      </c>
      <c r="C208" s="16" t="s">
        <v>242</v>
      </c>
      <c r="D208" s="20" t="s">
        <v>18</v>
      </c>
      <c r="E208" s="44">
        <v>8</v>
      </c>
      <c r="F208" s="40">
        <v>24.05</v>
      </c>
      <c r="G208" s="40">
        <f t="shared" si="10"/>
        <v>192.4</v>
      </c>
    </row>
    <row r="209" spans="1:7" ht="15.75" thickBot="1" x14ac:dyDescent="0.3">
      <c r="A209" s="20" t="s">
        <v>154</v>
      </c>
      <c r="B209" s="32" t="s">
        <v>243</v>
      </c>
      <c r="C209" s="16" t="s">
        <v>244</v>
      </c>
      <c r="D209" s="20" t="s">
        <v>18</v>
      </c>
      <c r="E209" s="44">
        <v>2</v>
      </c>
      <c r="F209" s="40">
        <v>9.9600000000000009</v>
      </c>
      <c r="G209" s="40">
        <f t="shared" si="10"/>
        <v>19.920000000000002</v>
      </c>
    </row>
    <row r="210" spans="1:7" ht="15.75" thickBot="1" x14ac:dyDescent="0.3">
      <c r="A210" s="20" t="s">
        <v>157</v>
      </c>
      <c r="B210" s="32" t="s">
        <v>245</v>
      </c>
      <c r="C210" s="16" t="s">
        <v>335</v>
      </c>
      <c r="D210" s="20" t="s">
        <v>15</v>
      </c>
      <c r="E210" s="48">
        <v>36</v>
      </c>
      <c r="F210" s="40">
        <v>44.51</v>
      </c>
      <c r="G210" s="40">
        <f t="shared" si="10"/>
        <v>1602.36</v>
      </c>
    </row>
    <row r="211" spans="1:7" ht="15.75" thickBot="1" x14ac:dyDescent="0.3">
      <c r="A211" s="20" t="s">
        <v>161</v>
      </c>
      <c r="B211" s="32" t="s">
        <v>246</v>
      </c>
      <c r="C211" s="16" t="s">
        <v>247</v>
      </c>
      <c r="D211" s="20" t="s">
        <v>18</v>
      </c>
      <c r="E211" s="45">
        <v>2</v>
      </c>
      <c r="F211" s="51">
        <v>9.57</v>
      </c>
      <c r="G211" s="40">
        <f>F211*E211</f>
        <v>19.14</v>
      </c>
    </row>
    <row r="212" spans="1:7" ht="30.75" thickBot="1" x14ac:dyDescent="0.3">
      <c r="A212" s="20" t="s">
        <v>164</v>
      </c>
      <c r="B212" s="32" t="s">
        <v>248</v>
      </c>
      <c r="C212" s="16" t="s">
        <v>249</v>
      </c>
      <c r="D212" s="20" t="s">
        <v>18</v>
      </c>
      <c r="E212" s="45">
        <v>1</v>
      </c>
      <c r="F212" s="19">
        <v>256.77</v>
      </c>
      <c r="G212" s="40">
        <f t="shared" ref="G212:G225" si="11">F212*E212</f>
        <v>256.77</v>
      </c>
    </row>
    <row r="213" spans="1:7" ht="15.75" thickBot="1" x14ac:dyDescent="0.3">
      <c r="A213" s="20" t="s">
        <v>167</v>
      </c>
      <c r="B213" s="32" t="s">
        <v>250</v>
      </c>
      <c r="C213" s="16" t="s">
        <v>251</v>
      </c>
      <c r="D213" s="20" t="s">
        <v>18</v>
      </c>
      <c r="E213" s="45">
        <v>0.08</v>
      </c>
      <c r="F213" s="51">
        <v>1185.5</v>
      </c>
      <c r="G213" s="40">
        <f t="shared" si="11"/>
        <v>94.84</v>
      </c>
    </row>
    <row r="214" spans="1:7" ht="15.75" thickBot="1" x14ac:dyDescent="0.3">
      <c r="A214" s="20" t="s">
        <v>170</v>
      </c>
      <c r="B214" s="32" t="s">
        <v>252</v>
      </c>
      <c r="C214" s="16" t="s">
        <v>253</v>
      </c>
      <c r="D214" s="20" t="s">
        <v>15</v>
      </c>
      <c r="E214" s="45">
        <v>6</v>
      </c>
      <c r="F214" s="51">
        <v>5.16</v>
      </c>
      <c r="G214" s="40">
        <f t="shared" si="11"/>
        <v>30.96</v>
      </c>
    </row>
    <row r="215" spans="1:7" ht="15.75" thickBot="1" x14ac:dyDescent="0.3">
      <c r="A215" s="20" t="s">
        <v>221</v>
      </c>
      <c r="B215" s="32" t="s">
        <v>255</v>
      </c>
      <c r="C215" s="16" t="s">
        <v>256</v>
      </c>
      <c r="D215" s="20" t="s">
        <v>18</v>
      </c>
      <c r="E215" s="45">
        <v>1</v>
      </c>
      <c r="F215" s="40">
        <v>1.8</v>
      </c>
      <c r="G215" s="40">
        <f t="shared" si="11"/>
        <v>1.8</v>
      </c>
    </row>
    <row r="216" spans="1:7" ht="15.75" thickBot="1" x14ac:dyDescent="0.3">
      <c r="A216" s="20" t="s">
        <v>222</v>
      </c>
      <c r="B216" s="32" t="s">
        <v>257</v>
      </c>
      <c r="C216" s="16" t="s">
        <v>258</v>
      </c>
      <c r="D216" s="20" t="s">
        <v>18</v>
      </c>
      <c r="E216" s="44">
        <v>1</v>
      </c>
      <c r="F216" s="40">
        <v>14.16</v>
      </c>
      <c r="G216" s="40">
        <f t="shared" si="11"/>
        <v>14.16</v>
      </c>
    </row>
    <row r="217" spans="1:7" ht="15.75" thickBot="1" x14ac:dyDescent="0.3">
      <c r="A217" s="20" t="s">
        <v>223</v>
      </c>
      <c r="B217" s="32" t="s">
        <v>259</v>
      </c>
      <c r="C217" s="16" t="s">
        <v>260</v>
      </c>
      <c r="D217" s="20" t="s">
        <v>18</v>
      </c>
      <c r="E217" s="44">
        <v>3</v>
      </c>
      <c r="F217" s="40">
        <v>0.78</v>
      </c>
      <c r="G217" s="40">
        <f t="shared" si="11"/>
        <v>2.34</v>
      </c>
    </row>
    <row r="218" spans="1:7" ht="15.75" thickBot="1" x14ac:dyDescent="0.3">
      <c r="A218" s="20" t="s">
        <v>224</v>
      </c>
      <c r="B218" s="32" t="s">
        <v>261</v>
      </c>
      <c r="C218" s="16" t="s">
        <v>262</v>
      </c>
      <c r="D218" s="20" t="s">
        <v>15</v>
      </c>
      <c r="E218" s="48">
        <v>1</v>
      </c>
      <c r="F218" s="40">
        <v>1.26</v>
      </c>
      <c r="G218" s="40">
        <f t="shared" si="11"/>
        <v>1.26</v>
      </c>
    </row>
    <row r="219" spans="1:7" ht="15.75" thickBot="1" x14ac:dyDescent="0.3">
      <c r="A219" s="20" t="s">
        <v>225</v>
      </c>
      <c r="B219" s="32" t="s">
        <v>263</v>
      </c>
      <c r="C219" s="16" t="s">
        <v>264</v>
      </c>
      <c r="D219" s="20" t="s">
        <v>15</v>
      </c>
      <c r="E219" s="45">
        <v>1</v>
      </c>
      <c r="F219" s="19">
        <v>2.4900000000000002</v>
      </c>
      <c r="G219" s="40">
        <f t="shared" si="11"/>
        <v>2.4900000000000002</v>
      </c>
    </row>
    <row r="220" spans="1:7" ht="30.75" thickBot="1" x14ac:dyDescent="0.3">
      <c r="A220" s="20" t="s">
        <v>226</v>
      </c>
      <c r="B220" s="32" t="s">
        <v>265</v>
      </c>
      <c r="C220" s="16" t="s">
        <v>266</v>
      </c>
      <c r="D220" s="20" t="s">
        <v>18</v>
      </c>
      <c r="E220" s="45">
        <v>1</v>
      </c>
      <c r="F220" s="51">
        <v>45.46</v>
      </c>
      <c r="G220" s="40">
        <f t="shared" si="11"/>
        <v>45.46</v>
      </c>
    </row>
    <row r="221" spans="1:7" ht="15.75" thickBot="1" x14ac:dyDescent="0.3">
      <c r="A221" s="20" t="s">
        <v>227</v>
      </c>
      <c r="B221" s="32" t="s">
        <v>267</v>
      </c>
      <c r="C221" s="16" t="s">
        <v>268</v>
      </c>
      <c r="D221" s="20" t="s">
        <v>15</v>
      </c>
      <c r="E221" s="45">
        <v>82</v>
      </c>
      <c r="F221" s="51">
        <v>5.92</v>
      </c>
      <c r="G221" s="40">
        <f t="shared" si="11"/>
        <v>485.44</v>
      </c>
    </row>
    <row r="222" spans="1:7" ht="15.75" thickBot="1" x14ac:dyDescent="0.3">
      <c r="A222" s="20" t="s">
        <v>228</v>
      </c>
      <c r="B222" s="32">
        <v>88267</v>
      </c>
      <c r="C222" s="16" t="s">
        <v>212</v>
      </c>
      <c r="D222" s="20" t="s">
        <v>160</v>
      </c>
      <c r="E222" s="45">
        <v>3</v>
      </c>
      <c r="F222" s="40">
        <v>18.96</v>
      </c>
      <c r="G222" s="40">
        <f t="shared" si="11"/>
        <v>56.88</v>
      </c>
    </row>
    <row r="223" spans="1:7" ht="15.75" thickBot="1" x14ac:dyDescent="0.3">
      <c r="A223" s="20" t="s">
        <v>229</v>
      </c>
      <c r="B223" s="32">
        <v>88248</v>
      </c>
      <c r="C223" s="16" t="s">
        <v>213</v>
      </c>
      <c r="D223" s="20" t="s">
        <v>160</v>
      </c>
      <c r="E223" s="44">
        <v>3</v>
      </c>
      <c r="F223" s="40">
        <v>15.03</v>
      </c>
      <c r="G223" s="40">
        <f t="shared" si="11"/>
        <v>45.089999999999996</v>
      </c>
    </row>
    <row r="224" spans="1:7" ht="15.75" thickBot="1" x14ac:dyDescent="0.3">
      <c r="A224" s="20" t="s">
        <v>230</v>
      </c>
      <c r="B224" s="32">
        <v>88264</v>
      </c>
      <c r="C224" s="16" t="s">
        <v>269</v>
      </c>
      <c r="D224" s="20" t="s">
        <v>160</v>
      </c>
      <c r="E224" s="44">
        <v>3</v>
      </c>
      <c r="F224" s="40">
        <v>19.79</v>
      </c>
      <c r="G224" s="40">
        <f t="shared" si="11"/>
        <v>59.37</v>
      </c>
    </row>
    <row r="225" spans="1:7" ht="15.75" thickBot="1" x14ac:dyDescent="0.3">
      <c r="A225" s="20" t="s">
        <v>231</v>
      </c>
      <c r="B225" s="32">
        <v>88243</v>
      </c>
      <c r="C225" s="16" t="s">
        <v>270</v>
      </c>
      <c r="D225" s="20" t="s">
        <v>160</v>
      </c>
      <c r="E225" s="48">
        <v>0.1</v>
      </c>
      <c r="F225" s="40">
        <v>15.86</v>
      </c>
      <c r="G225" s="40">
        <f t="shared" si="11"/>
        <v>1.5860000000000001</v>
      </c>
    </row>
    <row r="226" spans="1:7" ht="15.75" thickBot="1" x14ac:dyDescent="0.3">
      <c r="A226" s="20"/>
      <c r="B226" s="20"/>
      <c r="C226" s="20"/>
      <c r="D226" s="20"/>
      <c r="E226" s="44"/>
      <c r="F226" s="40"/>
      <c r="G226" s="40"/>
    </row>
    <row r="227" spans="1:7" ht="15.75" thickBot="1" x14ac:dyDescent="0.3">
      <c r="A227" s="20"/>
      <c r="B227" s="20"/>
      <c r="C227" s="163" t="s">
        <v>187</v>
      </c>
      <c r="D227" s="167"/>
      <c r="E227" s="167"/>
      <c r="F227" s="167"/>
      <c r="G227" s="43">
        <f>SUM(G203:G225)</f>
        <v>6162.4460000000008</v>
      </c>
    </row>
    <row r="229" spans="1:7" ht="15.75" thickBot="1" x14ac:dyDescent="0.3"/>
    <row r="230" spans="1:7" ht="24" thickBot="1" x14ac:dyDescent="0.3">
      <c r="A230" s="165" t="s">
        <v>370</v>
      </c>
      <c r="B230" s="165"/>
      <c r="C230" s="165"/>
      <c r="D230" s="165"/>
      <c r="E230" s="165"/>
      <c r="F230" s="165"/>
      <c r="G230" s="165"/>
    </row>
    <row r="231" spans="1:7" ht="15.75" thickBot="1" x14ac:dyDescent="0.3">
      <c r="A231" s="20"/>
      <c r="B231" s="20"/>
      <c r="C231" s="20"/>
      <c r="D231" s="20"/>
      <c r="E231" s="20"/>
      <c r="F231" s="40" t="s">
        <v>356</v>
      </c>
      <c r="G231" s="41">
        <v>0.27550000000000002</v>
      </c>
    </row>
    <row r="232" spans="1:7" ht="30.75" thickBot="1" x14ac:dyDescent="0.3">
      <c r="A232" s="55" t="s">
        <v>0</v>
      </c>
      <c r="B232" s="55" t="s">
        <v>1</v>
      </c>
      <c r="C232" s="55" t="s">
        <v>2</v>
      </c>
      <c r="D232" s="55" t="s">
        <v>3</v>
      </c>
      <c r="E232" s="42" t="s">
        <v>4</v>
      </c>
      <c r="F232" s="43" t="s">
        <v>5</v>
      </c>
      <c r="G232" s="43" t="s">
        <v>6</v>
      </c>
    </row>
    <row r="233" spans="1:7" ht="15.75" thickBot="1" x14ac:dyDescent="0.3">
      <c r="A233" s="20"/>
      <c r="B233" s="20"/>
      <c r="C233" s="20"/>
      <c r="D233" s="20"/>
      <c r="E233" s="44"/>
      <c r="F233" s="40"/>
      <c r="G233" s="40"/>
    </row>
    <row r="234" spans="1:7" ht="15.75" thickBot="1" x14ac:dyDescent="0.3">
      <c r="A234" s="55" t="s">
        <v>7</v>
      </c>
      <c r="B234" s="55"/>
      <c r="C234" s="166" t="s">
        <v>271</v>
      </c>
      <c r="D234" s="166"/>
      <c r="E234" s="166"/>
      <c r="F234" s="166"/>
      <c r="G234" s="166"/>
    </row>
    <row r="235" spans="1:7" ht="15.75" thickBot="1" x14ac:dyDescent="0.3">
      <c r="A235" s="20"/>
      <c r="B235" s="20"/>
      <c r="C235" s="20"/>
      <c r="D235" s="20"/>
      <c r="E235" s="44"/>
      <c r="F235" s="40"/>
      <c r="G235" s="40"/>
    </row>
    <row r="236" spans="1:7" ht="15.75" thickBot="1" x14ac:dyDescent="0.3">
      <c r="A236" s="20" t="s">
        <v>8</v>
      </c>
      <c r="B236" s="31" t="s">
        <v>349</v>
      </c>
      <c r="C236" s="15" t="s">
        <v>289</v>
      </c>
      <c r="D236" s="20" t="s">
        <v>18</v>
      </c>
      <c r="E236" s="45">
        <v>1</v>
      </c>
      <c r="F236" s="51">
        <v>82.85</v>
      </c>
      <c r="G236" s="40">
        <f>F236*E236</f>
        <v>82.85</v>
      </c>
    </row>
    <row r="237" spans="1:7" ht="30.75" thickBot="1" x14ac:dyDescent="0.3">
      <c r="A237" s="20" t="s">
        <v>9</v>
      </c>
      <c r="B237" s="31">
        <v>91863</v>
      </c>
      <c r="C237" s="16" t="s">
        <v>273</v>
      </c>
      <c r="D237" s="20" t="s">
        <v>15</v>
      </c>
      <c r="E237" s="45">
        <v>1.5</v>
      </c>
      <c r="F237" s="19">
        <v>10.88</v>
      </c>
      <c r="G237" s="40">
        <f t="shared" ref="G237:G243" si="12">F237*E237</f>
        <v>16.32</v>
      </c>
    </row>
    <row r="238" spans="1:7" ht="30.75" thickBot="1" x14ac:dyDescent="0.3">
      <c r="A238" s="20" t="s">
        <v>10</v>
      </c>
      <c r="B238" s="31">
        <v>91864</v>
      </c>
      <c r="C238" s="16" t="s">
        <v>274</v>
      </c>
      <c r="D238" s="20" t="s">
        <v>15</v>
      </c>
      <c r="E238" s="45">
        <v>6</v>
      </c>
      <c r="F238" s="51">
        <v>14.69</v>
      </c>
      <c r="G238" s="40">
        <f t="shared" si="12"/>
        <v>88.14</v>
      </c>
    </row>
    <row r="239" spans="1:7" ht="30.75" thickBot="1" x14ac:dyDescent="0.3">
      <c r="A239" s="20" t="s">
        <v>146</v>
      </c>
      <c r="B239" s="31">
        <v>91893</v>
      </c>
      <c r="C239" s="16" t="s">
        <v>275</v>
      </c>
      <c r="D239" s="20" t="s">
        <v>18</v>
      </c>
      <c r="E239" s="45">
        <v>2</v>
      </c>
      <c r="F239" s="51">
        <v>10.16</v>
      </c>
      <c r="G239" s="40">
        <f t="shared" si="12"/>
        <v>20.32</v>
      </c>
    </row>
    <row r="240" spans="1:7" ht="30.75" thickBot="1" x14ac:dyDescent="0.3">
      <c r="A240" s="20" t="s">
        <v>149</v>
      </c>
      <c r="B240" s="31">
        <v>91876</v>
      </c>
      <c r="C240" s="16" t="s">
        <v>276</v>
      </c>
      <c r="D240" s="20" t="s">
        <v>18</v>
      </c>
      <c r="E240" s="45">
        <v>4</v>
      </c>
      <c r="F240" s="40">
        <v>6.03</v>
      </c>
      <c r="G240" s="40">
        <f t="shared" si="12"/>
        <v>24.12</v>
      </c>
    </row>
    <row r="241" spans="1:7" ht="30.75" thickBot="1" x14ac:dyDescent="0.3">
      <c r="A241" s="20" t="s">
        <v>152</v>
      </c>
      <c r="B241" s="31" t="s">
        <v>272</v>
      </c>
      <c r="C241" s="16" t="s">
        <v>277</v>
      </c>
      <c r="D241" s="20" t="s">
        <v>18</v>
      </c>
      <c r="E241" s="44">
        <v>1</v>
      </c>
      <c r="F241" s="40">
        <v>4.16</v>
      </c>
      <c r="G241" s="40">
        <f t="shared" si="12"/>
        <v>4.16</v>
      </c>
    </row>
    <row r="242" spans="1:7" ht="30.75" thickBot="1" x14ac:dyDescent="0.3">
      <c r="A242" s="20" t="s">
        <v>154</v>
      </c>
      <c r="B242" s="31" t="s">
        <v>279</v>
      </c>
      <c r="C242" s="16" t="s">
        <v>278</v>
      </c>
      <c r="D242" s="20" t="s">
        <v>18</v>
      </c>
      <c r="E242" s="44">
        <v>1</v>
      </c>
      <c r="F242" s="40">
        <v>4.74</v>
      </c>
      <c r="G242" s="40">
        <f t="shared" si="12"/>
        <v>4.74</v>
      </c>
    </row>
    <row r="243" spans="1:7" ht="15.75" thickBot="1" x14ac:dyDescent="0.3">
      <c r="A243" s="20" t="s">
        <v>157</v>
      </c>
      <c r="B243" s="31" t="s">
        <v>280</v>
      </c>
      <c r="C243" s="16" t="s">
        <v>281</v>
      </c>
      <c r="D243" s="20" t="s">
        <v>18</v>
      </c>
      <c r="E243" s="44">
        <v>1</v>
      </c>
      <c r="F243" s="40">
        <v>1417.55</v>
      </c>
      <c r="G243" s="40">
        <f t="shared" si="12"/>
        <v>1417.55</v>
      </c>
    </row>
    <row r="244" spans="1:7" ht="30.75" thickBot="1" x14ac:dyDescent="0.3">
      <c r="A244" s="20" t="s">
        <v>161</v>
      </c>
      <c r="B244" s="31">
        <v>91931</v>
      </c>
      <c r="C244" s="16" t="s">
        <v>282</v>
      </c>
      <c r="D244" s="20" t="s">
        <v>15</v>
      </c>
      <c r="E244" s="45">
        <v>25</v>
      </c>
      <c r="F244" s="51">
        <v>9.2799999999999994</v>
      </c>
      <c r="G244" s="40">
        <f>F244*E244</f>
        <v>231.99999999999997</v>
      </c>
    </row>
    <row r="245" spans="1:7" ht="30.75" thickBot="1" x14ac:dyDescent="0.3">
      <c r="A245" s="20" t="s">
        <v>164</v>
      </c>
      <c r="B245" s="31" t="s">
        <v>291</v>
      </c>
      <c r="C245" s="16" t="s">
        <v>290</v>
      </c>
      <c r="D245" s="20" t="s">
        <v>18</v>
      </c>
      <c r="E245" s="45">
        <v>1</v>
      </c>
      <c r="F245" s="19">
        <v>194.39</v>
      </c>
      <c r="G245" s="40">
        <f t="shared" ref="G245:G253" si="13">F245*E245</f>
        <v>194.39</v>
      </c>
    </row>
    <row r="246" spans="1:7" ht="15.75" thickBot="1" x14ac:dyDescent="0.3">
      <c r="A246" s="20" t="s">
        <v>167</v>
      </c>
      <c r="B246" s="31" t="s">
        <v>293</v>
      </c>
      <c r="C246" s="16" t="s">
        <v>292</v>
      </c>
      <c r="D246" s="20" t="s">
        <v>18</v>
      </c>
      <c r="E246" s="45">
        <v>5</v>
      </c>
      <c r="F246" s="51">
        <v>22.76</v>
      </c>
      <c r="G246" s="40">
        <f t="shared" si="13"/>
        <v>113.80000000000001</v>
      </c>
    </row>
    <row r="247" spans="1:7" ht="15.75" thickBot="1" x14ac:dyDescent="0.3">
      <c r="A247" s="20" t="s">
        <v>170</v>
      </c>
      <c r="B247" s="31">
        <v>93672</v>
      </c>
      <c r="C247" s="16" t="s">
        <v>283</v>
      </c>
      <c r="D247" s="20" t="s">
        <v>18</v>
      </c>
      <c r="E247" s="45">
        <v>1</v>
      </c>
      <c r="F247" s="51">
        <v>78.64</v>
      </c>
      <c r="G247" s="40">
        <f t="shared" si="13"/>
        <v>78.64</v>
      </c>
    </row>
    <row r="248" spans="1:7" ht="30.75" thickBot="1" x14ac:dyDescent="0.3">
      <c r="A248" s="20" t="s">
        <v>221</v>
      </c>
      <c r="B248" s="31" t="s">
        <v>284</v>
      </c>
      <c r="C248" s="16" t="s">
        <v>266</v>
      </c>
      <c r="D248" s="20" t="s">
        <v>18</v>
      </c>
      <c r="E248" s="45">
        <v>1</v>
      </c>
      <c r="F248" s="40">
        <v>45.46</v>
      </c>
      <c r="G248" s="40">
        <f t="shared" si="13"/>
        <v>45.46</v>
      </c>
    </row>
    <row r="249" spans="1:7" ht="15.75" thickBot="1" x14ac:dyDescent="0.3">
      <c r="A249" s="20" t="s">
        <v>222</v>
      </c>
      <c r="B249" s="31" t="s">
        <v>285</v>
      </c>
      <c r="C249" s="16" t="s">
        <v>286</v>
      </c>
      <c r="D249" s="20" t="s">
        <v>15</v>
      </c>
      <c r="E249" s="44">
        <v>2</v>
      </c>
      <c r="F249" s="40">
        <v>11.08</v>
      </c>
      <c r="G249" s="40">
        <f t="shared" si="13"/>
        <v>22.16</v>
      </c>
    </row>
    <row r="250" spans="1:7" ht="30.75" thickBot="1" x14ac:dyDescent="0.3">
      <c r="A250" s="20" t="s">
        <v>223</v>
      </c>
      <c r="B250" s="31">
        <v>91844</v>
      </c>
      <c r="C250" s="16" t="s">
        <v>287</v>
      </c>
      <c r="D250" s="20" t="s">
        <v>15</v>
      </c>
      <c r="E250" s="44">
        <v>5</v>
      </c>
      <c r="F250" s="40">
        <v>6.13</v>
      </c>
      <c r="G250" s="40">
        <f t="shared" si="13"/>
        <v>30.65</v>
      </c>
    </row>
    <row r="251" spans="1:7" ht="30.75" thickBot="1" x14ac:dyDescent="0.3">
      <c r="A251" s="20" t="s">
        <v>224</v>
      </c>
      <c r="B251" s="31">
        <v>92001</v>
      </c>
      <c r="C251" s="16" t="s">
        <v>288</v>
      </c>
      <c r="D251" s="20" t="s">
        <v>18</v>
      </c>
      <c r="E251" s="48">
        <v>1</v>
      </c>
      <c r="F251" s="40">
        <v>22.57</v>
      </c>
      <c r="G251" s="40">
        <f t="shared" si="13"/>
        <v>22.57</v>
      </c>
    </row>
    <row r="252" spans="1:7" ht="15.75" thickBot="1" x14ac:dyDescent="0.3">
      <c r="A252" s="20" t="s">
        <v>225</v>
      </c>
      <c r="B252" s="31">
        <v>88264</v>
      </c>
      <c r="C252" s="16" t="s">
        <v>269</v>
      </c>
      <c r="D252" s="20" t="s">
        <v>160</v>
      </c>
      <c r="E252" s="45">
        <v>2.5</v>
      </c>
      <c r="F252" s="19">
        <v>19.97</v>
      </c>
      <c r="G252" s="40">
        <f t="shared" si="13"/>
        <v>49.924999999999997</v>
      </c>
    </row>
    <row r="253" spans="1:7" ht="15.75" thickBot="1" x14ac:dyDescent="0.3">
      <c r="A253" s="20" t="s">
        <v>226</v>
      </c>
      <c r="B253" s="31">
        <v>88243</v>
      </c>
      <c r="C253" s="16" t="s">
        <v>270</v>
      </c>
      <c r="D253" s="20" t="s">
        <v>160</v>
      </c>
      <c r="E253" s="45">
        <v>2.5</v>
      </c>
      <c r="F253" s="51">
        <v>15.86</v>
      </c>
      <c r="G253" s="40">
        <f t="shared" si="13"/>
        <v>39.65</v>
      </c>
    </row>
    <row r="254" spans="1:7" ht="15.75" thickBot="1" x14ac:dyDescent="0.3">
      <c r="A254" s="20"/>
      <c r="B254" s="20"/>
      <c r="C254" s="20"/>
      <c r="D254" s="20"/>
      <c r="E254" s="44"/>
      <c r="F254" s="40"/>
      <c r="G254" s="40"/>
    </row>
    <row r="255" spans="1:7" ht="15.75" thickBot="1" x14ac:dyDescent="0.3">
      <c r="A255" s="20"/>
      <c r="B255" s="20"/>
      <c r="C255" s="163" t="s">
        <v>187</v>
      </c>
      <c r="D255" s="167"/>
      <c r="E255" s="167"/>
      <c r="F255" s="167"/>
      <c r="G255" s="43">
        <f>SUM(G236:G253)</f>
        <v>2487.4450000000006</v>
      </c>
    </row>
    <row r="257" spans="1:7" ht="15.75" thickBot="1" x14ac:dyDescent="0.3"/>
    <row r="258" spans="1:7" ht="24" thickBot="1" x14ac:dyDescent="0.3">
      <c r="A258" s="165" t="s">
        <v>357</v>
      </c>
      <c r="B258" s="165"/>
      <c r="C258" s="165"/>
      <c r="D258" s="165"/>
      <c r="E258" s="165"/>
      <c r="F258" s="165"/>
      <c r="G258" s="165"/>
    </row>
    <row r="259" spans="1:7" ht="15.75" thickBot="1" x14ac:dyDescent="0.3">
      <c r="A259" s="20"/>
      <c r="B259" s="20"/>
      <c r="C259" s="20"/>
      <c r="D259" s="20"/>
      <c r="E259" s="20"/>
      <c r="F259" s="40" t="s">
        <v>356</v>
      </c>
      <c r="G259" s="41">
        <v>0.27550000000000002</v>
      </c>
    </row>
    <row r="260" spans="1:7" ht="30.75" thickBot="1" x14ac:dyDescent="0.3">
      <c r="A260" s="55" t="s">
        <v>0</v>
      </c>
      <c r="B260" s="55" t="s">
        <v>1</v>
      </c>
      <c r="C260" s="55" t="s">
        <v>2</v>
      </c>
      <c r="D260" s="55" t="s">
        <v>3</v>
      </c>
      <c r="E260" s="42" t="s">
        <v>4</v>
      </c>
      <c r="F260" s="43" t="s">
        <v>5</v>
      </c>
      <c r="G260" s="43" t="s">
        <v>6</v>
      </c>
    </row>
    <row r="261" spans="1:7" ht="15.75" thickBot="1" x14ac:dyDescent="0.3">
      <c r="A261" s="20"/>
      <c r="B261" s="20"/>
      <c r="C261" s="20"/>
      <c r="D261" s="20"/>
      <c r="E261" s="44"/>
      <c r="F261" s="40"/>
      <c r="G261" s="40"/>
    </row>
    <row r="262" spans="1:7" ht="15.75" thickBot="1" x14ac:dyDescent="0.3">
      <c r="A262" s="55" t="s">
        <v>7</v>
      </c>
      <c r="B262" s="55"/>
      <c r="C262" s="166" t="s">
        <v>14</v>
      </c>
      <c r="D262" s="166"/>
      <c r="E262" s="166"/>
      <c r="F262" s="166"/>
      <c r="G262" s="166"/>
    </row>
    <row r="263" spans="1:7" ht="15.75" thickBot="1" x14ac:dyDescent="0.3">
      <c r="A263" s="20"/>
      <c r="B263" s="20"/>
      <c r="C263" s="20"/>
      <c r="D263" s="20"/>
      <c r="E263" s="44"/>
      <c r="F263" s="40"/>
      <c r="G263" s="40"/>
    </row>
    <row r="264" spans="1:7" ht="15.75" thickBot="1" x14ac:dyDescent="0.3">
      <c r="A264" s="20" t="s">
        <v>8</v>
      </c>
      <c r="B264" s="31">
        <v>5928</v>
      </c>
      <c r="C264" s="15" t="s">
        <v>294</v>
      </c>
      <c r="D264" s="20" t="s">
        <v>192</v>
      </c>
      <c r="E264" s="45">
        <v>0.01</v>
      </c>
      <c r="F264" s="51">
        <v>267.89</v>
      </c>
      <c r="G264" s="40">
        <f>F264*E264</f>
        <v>2.6789000000000001</v>
      </c>
    </row>
    <row r="265" spans="1:7" ht="15.75" thickBot="1" x14ac:dyDescent="0.3">
      <c r="A265" s="20" t="s">
        <v>9</v>
      </c>
      <c r="B265" s="31">
        <v>88286</v>
      </c>
      <c r="C265" s="15" t="s">
        <v>295</v>
      </c>
      <c r="D265" s="20" t="s">
        <v>160</v>
      </c>
      <c r="E265" s="45">
        <v>0.01</v>
      </c>
      <c r="F265" s="19">
        <v>18.5</v>
      </c>
      <c r="G265" s="40">
        <f t="shared" ref="G265:G271" si="14">F265*E265</f>
        <v>0.185</v>
      </c>
    </row>
    <row r="266" spans="1:7" ht="15.75" thickBot="1" x14ac:dyDescent="0.3">
      <c r="A266" s="20" t="s">
        <v>10</v>
      </c>
      <c r="B266" s="31">
        <v>88243</v>
      </c>
      <c r="C266" s="15" t="s">
        <v>296</v>
      </c>
      <c r="D266" s="20" t="s">
        <v>160</v>
      </c>
      <c r="E266" s="45">
        <v>0.01</v>
      </c>
      <c r="F266" s="51">
        <v>15.86</v>
      </c>
      <c r="G266" s="40">
        <f t="shared" si="14"/>
        <v>0.15859999999999999</v>
      </c>
    </row>
    <row r="267" spans="1:7" ht="15.75" thickBot="1" x14ac:dyDescent="0.3">
      <c r="A267" s="20" t="s">
        <v>146</v>
      </c>
      <c r="B267" s="31" t="s">
        <v>279</v>
      </c>
      <c r="C267" s="15" t="s">
        <v>278</v>
      </c>
      <c r="D267" s="20" t="s">
        <v>18</v>
      </c>
      <c r="E267" s="45">
        <v>0.02</v>
      </c>
      <c r="F267" s="40">
        <v>4.74</v>
      </c>
      <c r="G267" s="40">
        <f t="shared" si="14"/>
        <v>9.4800000000000009E-2</v>
      </c>
    </row>
    <row r="268" spans="1:7" ht="15.75" thickBot="1" x14ac:dyDescent="0.3">
      <c r="A268" s="20" t="s">
        <v>149</v>
      </c>
      <c r="B268" s="31" t="s">
        <v>280</v>
      </c>
      <c r="C268" s="15" t="s">
        <v>281</v>
      </c>
      <c r="D268" s="20" t="s">
        <v>18</v>
      </c>
      <c r="E268" s="45">
        <v>0.02</v>
      </c>
      <c r="F268" s="40">
        <v>1417.55</v>
      </c>
      <c r="G268" s="40">
        <f t="shared" si="14"/>
        <v>28.350999999999999</v>
      </c>
    </row>
    <row r="269" spans="1:7" ht="15.75" thickBot="1" x14ac:dyDescent="0.3">
      <c r="A269" s="20" t="s">
        <v>152</v>
      </c>
      <c r="B269" s="31">
        <v>91932</v>
      </c>
      <c r="C269" s="15" t="s">
        <v>297</v>
      </c>
      <c r="D269" s="20" t="s">
        <v>15</v>
      </c>
      <c r="E269" s="44">
        <v>1</v>
      </c>
      <c r="F269" s="40">
        <v>15.5</v>
      </c>
      <c r="G269" s="40">
        <f t="shared" si="14"/>
        <v>15.5</v>
      </c>
    </row>
    <row r="270" spans="1:7" ht="15.75" thickBot="1" x14ac:dyDescent="0.3">
      <c r="A270" s="20" t="s">
        <v>154</v>
      </c>
      <c r="B270" s="31" t="s">
        <v>293</v>
      </c>
      <c r="C270" s="16" t="s">
        <v>292</v>
      </c>
      <c r="D270" s="20" t="s">
        <v>18</v>
      </c>
      <c r="E270" s="44">
        <v>0.02</v>
      </c>
      <c r="F270" s="51">
        <v>22.76</v>
      </c>
      <c r="G270" s="40">
        <f t="shared" si="14"/>
        <v>0.45520000000000005</v>
      </c>
    </row>
    <row r="271" spans="1:7" ht="15.75" thickBot="1" x14ac:dyDescent="0.3">
      <c r="A271" s="20" t="s">
        <v>157</v>
      </c>
      <c r="B271" s="31">
        <v>88264</v>
      </c>
      <c r="C271" s="15" t="s">
        <v>269</v>
      </c>
      <c r="D271" s="20" t="s">
        <v>160</v>
      </c>
      <c r="E271" s="48">
        <v>0.01</v>
      </c>
      <c r="F271" s="19">
        <v>19.97</v>
      </c>
      <c r="G271" s="40">
        <f t="shared" si="14"/>
        <v>0.19969999999999999</v>
      </c>
    </row>
    <row r="272" spans="1:7" ht="15.75" thickBot="1" x14ac:dyDescent="0.3">
      <c r="A272" s="20" t="s">
        <v>161</v>
      </c>
      <c r="B272" s="31">
        <v>88243</v>
      </c>
      <c r="C272" s="15" t="s">
        <v>270</v>
      </c>
      <c r="D272" s="20" t="s">
        <v>160</v>
      </c>
      <c r="E272" s="45">
        <v>0.01</v>
      </c>
      <c r="F272" s="51">
        <v>15.86</v>
      </c>
      <c r="G272" s="40">
        <f>F272*E272</f>
        <v>0.15859999999999999</v>
      </c>
    </row>
    <row r="273" spans="1:7" ht="15.75" thickBot="1" x14ac:dyDescent="0.3">
      <c r="A273" s="20"/>
      <c r="B273" s="20"/>
      <c r="C273" s="20"/>
      <c r="D273" s="20"/>
      <c r="E273" s="44"/>
      <c r="F273" s="40"/>
      <c r="G273" s="40"/>
    </row>
    <row r="274" spans="1:7" ht="15.75" thickBot="1" x14ac:dyDescent="0.3">
      <c r="A274" s="20"/>
      <c r="B274" s="20"/>
      <c r="C274" s="163" t="s">
        <v>187</v>
      </c>
      <c r="D274" s="167"/>
      <c r="E274" s="167"/>
      <c r="F274" s="167"/>
      <c r="G274" s="43">
        <f>SUM(G264:G272)</f>
        <v>47.781799999999997</v>
      </c>
    </row>
  </sheetData>
  <mergeCells count="63">
    <mergeCell ref="C274:F274"/>
    <mergeCell ref="A230:G230"/>
    <mergeCell ref="C234:G234"/>
    <mergeCell ref="C255:F255"/>
    <mergeCell ref="A258:G258"/>
    <mergeCell ref="C262:G262"/>
    <mergeCell ref="C188:G188"/>
    <mergeCell ref="C194:F194"/>
    <mergeCell ref="A197:G197"/>
    <mergeCell ref="C201:G201"/>
    <mergeCell ref="C227:F227"/>
    <mergeCell ref="C167:F167"/>
    <mergeCell ref="A170:G170"/>
    <mergeCell ref="C174:G174"/>
    <mergeCell ref="C181:F181"/>
    <mergeCell ref="A184:G184"/>
    <mergeCell ref="A141:G141"/>
    <mergeCell ref="C145:G145"/>
    <mergeCell ref="C152:F152"/>
    <mergeCell ref="A155:G155"/>
    <mergeCell ref="C159:G159"/>
    <mergeCell ref="C110:G110"/>
    <mergeCell ref="C121:F121"/>
    <mergeCell ref="A124:G124"/>
    <mergeCell ref="C128:G128"/>
    <mergeCell ref="C138:F138"/>
    <mergeCell ref="C85:F85"/>
    <mergeCell ref="A88:G88"/>
    <mergeCell ref="C92:G92"/>
    <mergeCell ref="C103:F103"/>
    <mergeCell ref="A106:G106"/>
    <mergeCell ref="A55:G55"/>
    <mergeCell ref="C59:G59"/>
    <mergeCell ref="C67:F67"/>
    <mergeCell ref="A70:G70"/>
    <mergeCell ref="C74:G74"/>
    <mergeCell ref="C52:F52"/>
    <mergeCell ref="A31:F31"/>
    <mergeCell ref="A35:F35"/>
    <mergeCell ref="A37:F37"/>
    <mergeCell ref="A32:G32"/>
    <mergeCell ref="A36:G36"/>
    <mergeCell ref="C11:C12"/>
    <mergeCell ref="D11:D12"/>
    <mergeCell ref="E11:E12"/>
    <mergeCell ref="A40:G40"/>
    <mergeCell ref="C44:G44"/>
    <mergeCell ref="A1:G3"/>
    <mergeCell ref="A13:G13"/>
    <mergeCell ref="A28:G28"/>
    <mergeCell ref="B9:C9"/>
    <mergeCell ref="B6:C7"/>
    <mergeCell ref="D7:E7"/>
    <mergeCell ref="F7:G7"/>
    <mergeCell ref="C5:E5"/>
    <mergeCell ref="A8:G8"/>
    <mergeCell ref="D9:G9"/>
    <mergeCell ref="A27:F27"/>
    <mergeCell ref="F11:G11"/>
    <mergeCell ref="A10:G10"/>
    <mergeCell ref="A4:G4"/>
    <mergeCell ref="A11:A12"/>
    <mergeCell ref="B11:B12"/>
  </mergeCells>
  <printOptions gridLines="1"/>
  <pageMargins left="0.23622047244094491" right="0.23622047244094491" top="0.74803149606299213" bottom="0.74803149606299213" header="0.31496062992125984" footer="0.31496062992125984"/>
  <pageSetup paperSize="9" scale="95" fitToHeight="0" orientation="landscape" r:id="rId1"/>
  <rowBreaks count="14" manualBreakCount="14">
    <brk id="37" max="16383" man="1"/>
    <brk id="52" max="16383" man="1"/>
    <brk id="67" max="16383" man="1"/>
    <brk id="85" max="16383" man="1"/>
    <brk id="103" max="16383" man="1"/>
    <brk id="121" max="16383" man="1"/>
    <brk id="138" max="16383" man="1"/>
    <brk id="152" max="16383" man="1"/>
    <brk id="167" max="16383" man="1"/>
    <brk id="181" max="16383" man="1"/>
    <brk id="194" max="16383" man="1"/>
    <brk id="227" max="16383" man="1"/>
    <brk id="255" max="16383" man="1"/>
    <brk id="27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020B-05C2-4C1F-9910-ED9FC31418B5}">
  <dimension ref="A1:D19"/>
  <sheetViews>
    <sheetView tabSelected="1" workbookViewId="0">
      <selection activeCell="D17" sqref="D17"/>
    </sheetView>
  </sheetViews>
  <sheetFormatPr defaultRowHeight="15" x14ac:dyDescent="0.25"/>
  <cols>
    <col min="1" max="1" width="9.140625" customWidth="1"/>
    <col min="2" max="2" width="30.7109375" customWidth="1"/>
    <col min="3" max="3" width="27.140625" customWidth="1"/>
    <col min="4" max="4" width="24.28515625" customWidth="1"/>
  </cols>
  <sheetData>
    <row r="1" spans="1:4" ht="58.5" customHeight="1" x14ac:dyDescent="0.25">
      <c r="A1" s="171" t="s">
        <v>354</v>
      </c>
      <c r="B1" s="172"/>
      <c r="C1" s="172"/>
      <c r="D1" s="173"/>
    </row>
    <row r="2" spans="1:4" ht="55.5" customHeight="1" x14ac:dyDescent="0.25">
      <c r="A2" s="174"/>
      <c r="B2" s="175"/>
      <c r="C2" s="175"/>
      <c r="D2" s="176"/>
    </row>
    <row r="3" spans="1:4" x14ac:dyDescent="0.25">
      <c r="A3" s="177" t="s">
        <v>384</v>
      </c>
      <c r="B3" s="178"/>
      <c r="C3" s="178"/>
      <c r="D3" s="179"/>
    </row>
    <row r="4" spans="1:4" x14ac:dyDescent="0.25">
      <c r="A4" s="177"/>
      <c r="B4" s="178"/>
      <c r="C4" s="178"/>
      <c r="D4" s="179"/>
    </row>
    <row r="5" spans="1:4" x14ac:dyDescent="0.25">
      <c r="A5" s="180" t="s">
        <v>339</v>
      </c>
      <c r="B5" s="181"/>
      <c r="C5" s="181"/>
      <c r="D5" s="182"/>
    </row>
    <row r="6" spans="1:4" ht="15.75" thickBot="1" x14ac:dyDescent="0.3">
      <c r="A6" s="183" t="s">
        <v>385</v>
      </c>
      <c r="B6" s="184"/>
      <c r="C6" s="184"/>
      <c r="D6" s="185"/>
    </row>
    <row r="7" spans="1:4" ht="15.75" thickBot="1" x14ac:dyDescent="0.3">
      <c r="A7" s="13" t="s">
        <v>0</v>
      </c>
      <c r="B7" s="13" t="s">
        <v>386</v>
      </c>
      <c r="C7" s="14" t="s">
        <v>6</v>
      </c>
      <c r="D7" s="14" t="s">
        <v>360</v>
      </c>
    </row>
    <row r="8" spans="1:4" ht="15.75" thickBot="1" x14ac:dyDescent="0.3">
      <c r="A8" s="168"/>
      <c r="B8" s="169"/>
      <c r="C8" s="169"/>
      <c r="D8" s="170"/>
    </row>
    <row r="9" spans="1:4" ht="15.75" thickBot="1" x14ac:dyDescent="0.3">
      <c r="A9" s="13" t="s">
        <v>7</v>
      </c>
      <c r="B9" s="13" t="s">
        <v>387</v>
      </c>
      <c r="C9" s="14">
        <f>'ORÇAMENTO - SÃO JOSÉ'!H91</f>
        <v>48829.91</v>
      </c>
      <c r="D9" s="14">
        <f>'ORÇAMENTO - SÃO JOSÉ'!I91</f>
        <v>62282.09</v>
      </c>
    </row>
    <row r="10" spans="1:4" ht="15.75" thickBot="1" x14ac:dyDescent="0.3">
      <c r="A10" s="168"/>
      <c r="B10" s="169"/>
      <c r="C10" s="169"/>
      <c r="D10" s="170"/>
    </row>
    <row r="11" spans="1:4" ht="15.75" thickBot="1" x14ac:dyDescent="0.3">
      <c r="A11" s="13" t="s">
        <v>19</v>
      </c>
      <c r="B11" s="13" t="s">
        <v>388</v>
      </c>
      <c r="C11" s="14">
        <f>'ORÇAMENTO - NS FÁTIMA'!H90</f>
        <v>51470.879999999997</v>
      </c>
      <c r="D11" s="14">
        <f>'ORÇAMENTO - NS FÁTIMA'!I90</f>
        <v>65650.73</v>
      </c>
    </row>
    <row r="12" spans="1:4" ht="15.75" thickBot="1" x14ac:dyDescent="0.3">
      <c r="A12" s="168"/>
      <c r="B12" s="169"/>
      <c r="C12" s="169"/>
      <c r="D12" s="170"/>
    </row>
    <row r="13" spans="1:4" ht="15.75" thickBot="1" x14ac:dyDescent="0.3">
      <c r="A13" s="13" t="s">
        <v>65</v>
      </c>
      <c r="B13" s="13" t="s">
        <v>389</v>
      </c>
      <c r="C13" s="14">
        <f>'ORÇAMENTO - F. SERÁFICO'!H90</f>
        <v>62134.28</v>
      </c>
      <c r="D13" s="14">
        <f>'ORÇAMENTO - F. SERÁFICO'!I90</f>
        <v>79251.63</v>
      </c>
    </row>
    <row r="14" spans="1:4" ht="15.75" thickBot="1" x14ac:dyDescent="0.3">
      <c r="A14" s="168"/>
      <c r="B14" s="169"/>
      <c r="C14" s="169"/>
      <c r="D14" s="170"/>
    </row>
    <row r="15" spans="1:4" ht="15.75" thickBot="1" x14ac:dyDescent="0.3">
      <c r="A15" s="13" t="s">
        <v>106</v>
      </c>
      <c r="B15" s="13" t="s">
        <v>390</v>
      </c>
      <c r="C15" s="14">
        <f>'ORÇAMENTO - TRINDADE VERNA'!H90</f>
        <v>38635.83</v>
      </c>
      <c r="D15" s="14">
        <f>'ORÇAMENTO - TRINDADE VERNA'!I90</f>
        <v>49279.839999999997</v>
      </c>
    </row>
    <row r="16" spans="1:4" ht="15.75" thickBot="1" x14ac:dyDescent="0.3">
      <c r="A16" s="168"/>
      <c r="B16" s="169"/>
      <c r="C16" s="169"/>
      <c r="D16" s="170"/>
    </row>
    <row r="17" spans="1:4" ht="15.75" thickBot="1" x14ac:dyDescent="0.3">
      <c r="A17" s="13"/>
      <c r="B17" s="35" t="s">
        <v>391</v>
      </c>
      <c r="C17" s="14">
        <f>SUM(C15,C13,C11,C9)</f>
        <v>201070.9</v>
      </c>
      <c r="D17" s="14">
        <f>SUM(D15,D13,D11,D9)</f>
        <v>256464.29</v>
      </c>
    </row>
    <row r="18" spans="1:4" x14ac:dyDescent="0.25">
      <c r="D18" s="90"/>
    </row>
    <row r="19" spans="1:4" x14ac:dyDescent="0.25">
      <c r="D19" s="90"/>
    </row>
  </sheetData>
  <mergeCells count="9">
    <mergeCell ref="A16:D16"/>
    <mergeCell ref="A1:D2"/>
    <mergeCell ref="A3:D4"/>
    <mergeCell ref="A5:D5"/>
    <mergeCell ref="A6:D6"/>
    <mergeCell ref="A8:D8"/>
    <mergeCell ref="A10:D10"/>
    <mergeCell ref="A12:D12"/>
    <mergeCell ref="A14:D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EDC9-C894-4F39-B4AD-53FC0F75F8AE}">
  <dimension ref="A1:H103"/>
  <sheetViews>
    <sheetView showGridLines="0" workbookViewId="0">
      <selection activeCell="A22" sqref="A22:H23"/>
    </sheetView>
  </sheetViews>
  <sheetFormatPr defaultRowHeight="15" x14ac:dyDescent="0.25"/>
  <cols>
    <col min="1" max="1" width="19.140625" customWidth="1"/>
    <col min="2" max="2" width="15.28515625" customWidth="1"/>
    <col min="3" max="8" width="14.42578125" customWidth="1"/>
  </cols>
  <sheetData>
    <row r="1" spans="1:8" ht="69" customHeight="1" thickBot="1" x14ac:dyDescent="0.3">
      <c r="A1" s="186" t="s">
        <v>392</v>
      </c>
      <c r="B1" s="186"/>
      <c r="C1" s="186"/>
      <c r="D1" s="186"/>
      <c r="E1" s="186"/>
      <c r="F1" s="186"/>
      <c r="G1" s="186"/>
      <c r="H1" s="186"/>
    </row>
    <row r="2" spans="1:8" ht="69" customHeight="1" thickBot="1" x14ac:dyDescent="0.3">
      <c r="A2" s="186"/>
      <c r="B2" s="186"/>
      <c r="C2" s="186"/>
      <c r="D2" s="186"/>
      <c r="E2" s="186"/>
      <c r="F2" s="186"/>
      <c r="G2" s="186"/>
      <c r="H2" s="186"/>
    </row>
    <row r="3" spans="1:8" ht="15.75" thickBot="1" x14ac:dyDescent="0.3">
      <c r="A3" s="187" t="s">
        <v>339</v>
      </c>
      <c r="B3" s="187"/>
      <c r="C3" s="187"/>
      <c r="D3" s="187"/>
      <c r="E3" s="187"/>
      <c r="F3" s="187"/>
      <c r="G3" s="187"/>
      <c r="H3" s="187"/>
    </row>
    <row r="4" spans="1:8" ht="15.75" thickBot="1" x14ac:dyDescent="0.3">
      <c r="A4" s="187" t="s">
        <v>393</v>
      </c>
      <c r="B4" s="187"/>
      <c r="C4" s="187"/>
      <c r="D4" s="187"/>
      <c r="E4" s="187"/>
      <c r="F4" s="187"/>
      <c r="G4" s="187"/>
      <c r="H4" s="187"/>
    </row>
    <row r="5" spans="1:8" ht="15.75" thickBot="1" x14ac:dyDescent="0.3">
      <c r="A5" s="162" t="s">
        <v>0</v>
      </c>
      <c r="B5" s="163" t="s">
        <v>394</v>
      </c>
      <c r="C5" s="163" t="s">
        <v>395</v>
      </c>
      <c r="D5" s="163"/>
      <c r="E5" s="163"/>
      <c r="F5" s="163"/>
      <c r="G5" s="188" t="s">
        <v>391</v>
      </c>
      <c r="H5" s="189" t="s">
        <v>396</v>
      </c>
    </row>
    <row r="6" spans="1:8" ht="15.75" thickBot="1" x14ac:dyDescent="0.3">
      <c r="A6" s="162"/>
      <c r="B6" s="163"/>
      <c r="C6" s="13">
        <v>1</v>
      </c>
      <c r="D6" s="13">
        <v>2</v>
      </c>
      <c r="E6" s="58">
        <v>3</v>
      </c>
      <c r="F6" s="58">
        <v>4</v>
      </c>
      <c r="G6" s="188"/>
      <c r="H6" s="189"/>
    </row>
    <row r="7" spans="1:8" ht="15.75" thickBot="1" x14ac:dyDescent="0.3">
      <c r="A7" s="162" t="s">
        <v>7</v>
      </c>
      <c r="B7" s="163" t="s">
        <v>12</v>
      </c>
      <c r="C7" s="91">
        <f>('ORÇAMENTO - SÃO JOSÉ'!$I$7+'ORÇAMENTO - NS FÁTIMA'!$I$7+'ORÇAMENTO - F. SERÁFICO'!$I$7+'ORÇAMENTO - TRINDADE VERNA'!$I$7)*0.5</f>
        <v>89437.03</v>
      </c>
      <c r="D7" s="91">
        <f>('ORÇAMENTO - SÃO JOSÉ'!$I$7+'ORÇAMENTO - NS FÁTIMA'!$I$7+'ORÇAMENTO - F. SERÁFICO'!$I$7+'ORÇAMENTO - TRINDADE VERNA'!$I$7)*0.5</f>
        <v>89437.03</v>
      </c>
      <c r="E7" s="92"/>
      <c r="F7" s="93"/>
      <c r="G7" s="94">
        <f>SUM(C7:F7)</f>
        <v>178874.06</v>
      </c>
      <c r="H7" s="193">
        <f>G7/$G$16</f>
        <v>0.69746185716537756</v>
      </c>
    </row>
    <row r="8" spans="1:8" ht="21.75" customHeight="1" thickBot="1" x14ac:dyDescent="0.3">
      <c r="A8" s="162"/>
      <c r="B8" s="163"/>
      <c r="C8" s="95">
        <f>C7/$G$7</f>
        <v>0.5</v>
      </c>
      <c r="D8" s="96">
        <f>D7/$G$7</f>
        <v>0.5</v>
      </c>
      <c r="E8" s="97"/>
      <c r="F8" s="98"/>
      <c r="G8" s="99">
        <f t="shared" ref="G8:G14" si="0">SUM(C8:F8)</f>
        <v>1</v>
      </c>
      <c r="H8" s="193"/>
    </row>
    <row r="9" spans="1:8" ht="19.5" customHeight="1" thickBot="1" x14ac:dyDescent="0.3">
      <c r="A9" s="162" t="s">
        <v>19</v>
      </c>
      <c r="B9" s="198" t="s">
        <v>397</v>
      </c>
      <c r="C9" s="199"/>
      <c r="D9" s="94">
        <f>('ORÇAMENTO - SÃO JOSÉ'!$I$13+'ORÇAMENTO - NS FÁTIMA'!$I$12+'ORÇAMENTO - F. SERÁFICO'!$I$12+'ORÇAMENTO - TRINDADE VERNA'!$I$12)*0.3</f>
        <v>8247.2669999999998</v>
      </c>
      <c r="E9" s="94">
        <f>('ORÇAMENTO - SÃO JOSÉ'!$I$13+'ORÇAMENTO - NS FÁTIMA'!$I$12+'ORÇAMENTO - F. SERÁFICO'!$I$12+'ORÇAMENTO - TRINDADE VERNA'!$I$12)*0.7</f>
        <v>19243.623</v>
      </c>
      <c r="F9" s="101"/>
      <c r="G9" s="94">
        <f t="shared" si="0"/>
        <v>27490.89</v>
      </c>
      <c r="H9" s="193">
        <f>G9/$G$16</f>
        <v>0.10719188234744102</v>
      </c>
    </row>
    <row r="10" spans="1:8" ht="26.25" customHeight="1" thickBot="1" x14ac:dyDescent="0.3">
      <c r="A10" s="162"/>
      <c r="B10" s="198"/>
      <c r="C10" s="200"/>
      <c r="D10" s="102">
        <f>D9/$G$9</f>
        <v>0.3</v>
      </c>
      <c r="E10" s="103">
        <f>E9/$G$9</f>
        <v>0.7</v>
      </c>
      <c r="F10" s="104"/>
      <c r="G10" s="99">
        <f t="shared" si="0"/>
        <v>1</v>
      </c>
      <c r="H10" s="193"/>
    </row>
    <row r="11" spans="1:8" ht="15.75" thickBot="1" x14ac:dyDescent="0.3">
      <c r="A11" s="162" t="s">
        <v>65</v>
      </c>
      <c r="B11" s="198" t="s">
        <v>398</v>
      </c>
      <c r="C11" s="200"/>
      <c r="D11" s="94">
        <f>('ORÇAMENTO - SÃO JOSÉ'!$I$46+'ORÇAMENTO - NS FÁTIMA'!$I$45+'ORÇAMENTO - F. SERÁFICO'!$I$45+'ORÇAMENTO - TRINDADE VERNA'!$I$45)*0.3</f>
        <v>10056.420000000002</v>
      </c>
      <c r="E11" s="94">
        <f>('ORÇAMENTO - SÃO JOSÉ'!$I$46+'ORÇAMENTO - NS FÁTIMA'!$I$45+'ORÇAMENTO - F. SERÁFICO'!$I$45+'ORÇAMENTO - TRINDADE VERNA'!$I$45)*0.35</f>
        <v>11732.490000000002</v>
      </c>
      <c r="F11" s="94">
        <f>('ORÇAMENTO - SÃO JOSÉ'!$I$46+'ORÇAMENTO - NS FÁTIMA'!$I$45+'ORÇAMENTO - F. SERÁFICO'!$I$45+'ORÇAMENTO - TRINDADE VERNA'!$I$45)*0.35</f>
        <v>11732.490000000002</v>
      </c>
      <c r="G11" s="14">
        <f t="shared" si="0"/>
        <v>33521.400000000009</v>
      </c>
      <c r="H11" s="193">
        <f>G11/$G$16</f>
        <v>0.13070591621157082</v>
      </c>
    </row>
    <row r="12" spans="1:8" ht="15.75" thickBot="1" x14ac:dyDescent="0.3">
      <c r="A12" s="162"/>
      <c r="B12" s="198"/>
      <c r="C12" s="200"/>
      <c r="D12" s="105">
        <f>D11/$G$11</f>
        <v>0.3</v>
      </c>
      <c r="E12" s="106">
        <f>E11/$G$11</f>
        <v>0.35</v>
      </c>
      <c r="F12" s="106">
        <f>F11/$G$11</f>
        <v>0.35</v>
      </c>
      <c r="G12" s="107">
        <f t="shared" si="0"/>
        <v>0.99999999999999989</v>
      </c>
      <c r="H12" s="193"/>
    </row>
    <row r="13" spans="1:8" ht="15.75" thickBot="1" x14ac:dyDescent="0.3">
      <c r="A13" s="162" t="s">
        <v>106</v>
      </c>
      <c r="B13" s="191" t="s">
        <v>107</v>
      </c>
      <c r="C13" s="200"/>
      <c r="D13" s="108"/>
      <c r="E13" s="94">
        <f>('ORÇAMENTO - SÃO JOSÉ'!$I$79+'ORÇAMENTO - NS FÁTIMA'!$I$78+'ORÇAMENTO - F. SERÁFICO'!$I$78+'ORÇAMENTO - TRINDADE VERNA'!$I$78)*0.6</f>
        <v>9946.764000000001</v>
      </c>
      <c r="F13" s="94">
        <f>('ORÇAMENTO - SÃO JOSÉ'!$I$79+'ORÇAMENTO - NS FÁTIMA'!$I$78+'ORÇAMENTO - F. SERÁFICO'!$I$78+'ORÇAMENTO - TRINDADE VERNA'!$I$78)*0.4</f>
        <v>6631.1760000000013</v>
      </c>
      <c r="G13" s="14">
        <f t="shared" si="0"/>
        <v>16577.940000000002</v>
      </c>
      <c r="H13" s="193">
        <f>G13/$G$16</f>
        <v>6.4640344275610453E-2</v>
      </c>
    </row>
    <row r="14" spans="1:8" ht="15.75" thickBot="1" x14ac:dyDescent="0.3">
      <c r="A14" s="190"/>
      <c r="B14" s="192"/>
      <c r="C14" s="201"/>
      <c r="D14" s="109"/>
      <c r="E14" s="110">
        <f>E13/$G$13</f>
        <v>0.6</v>
      </c>
      <c r="F14" s="111">
        <f>F13/$G$13</f>
        <v>0.4</v>
      </c>
      <c r="G14" s="111">
        <f t="shared" si="0"/>
        <v>1</v>
      </c>
      <c r="H14" s="194"/>
    </row>
    <row r="15" spans="1:8" ht="15.75" thickBot="1" x14ac:dyDescent="0.3">
      <c r="A15" s="112"/>
      <c r="B15" s="113"/>
      <c r="C15" s="114"/>
      <c r="D15" s="114"/>
      <c r="E15" s="113"/>
      <c r="F15" s="113"/>
      <c r="G15" s="115"/>
      <c r="H15" s="110"/>
    </row>
    <row r="16" spans="1:8" ht="15.75" thickBot="1" x14ac:dyDescent="0.3">
      <c r="A16" s="195" t="s">
        <v>399</v>
      </c>
      <c r="B16" s="195"/>
      <c r="C16" s="80">
        <f>SUM(C7,C9,C11,C13)</f>
        <v>89437.03</v>
      </c>
      <c r="D16" s="80">
        <f>SUM(D7,D9,D11,D13)</f>
        <v>107740.71699999999</v>
      </c>
      <c r="E16" s="79">
        <f>SUM(E7,E9,E11,E13)</f>
        <v>40922.877</v>
      </c>
      <c r="F16" s="79">
        <f>SUM(F$7,F$9,F$11,F13)</f>
        <v>18363.666000000005</v>
      </c>
      <c r="G16" s="100">
        <f>SUM(G7,G9,G11,G13)</f>
        <v>256464.29000000004</v>
      </c>
      <c r="H16" s="116"/>
    </row>
    <row r="17" spans="1:8" ht="15.75" thickBot="1" x14ac:dyDescent="0.3">
      <c r="A17" s="196" t="s">
        <v>400</v>
      </c>
      <c r="B17" s="196"/>
      <c r="C17" s="117">
        <f>C16/$G$16</f>
        <v>0.34873092858268878</v>
      </c>
      <c r="D17" s="117">
        <f>D16/$G$16</f>
        <v>0.42010026815039231</v>
      </c>
      <c r="E17" s="117">
        <f>E16/$G$16</f>
        <v>0.15956559488262476</v>
      </c>
      <c r="F17" s="117">
        <f>F16/$G$16</f>
        <v>7.1603208384293973E-2</v>
      </c>
      <c r="G17" s="118">
        <f>G16/$G$16</f>
        <v>1</v>
      </c>
      <c r="H17" s="119"/>
    </row>
    <row r="18" spans="1:8" ht="15.75" thickBot="1" x14ac:dyDescent="0.3">
      <c r="A18" s="197" t="s">
        <v>401</v>
      </c>
      <c r="B18" s="197"/>
      <c r="C18" s="14">
        <f>C16</f>
        <v>89437.03</v>
      </c>
      <c r="D18" s="14">
        <f>C16+D16</f>
        <v>197177.74699999997</v>
      </c>
      <c r="E18" s="14">
        <f>SUM(C16:E16)</f>
        <v>238100.62399999998</v>
      </c>
      <c r="F18" s="120">
        <f>SUM(C16:F16)</f>
        <v>256464.28999999998</v>
      </c>
      <c r="G18" s="108"/>
      <c r="H18" s="121"/>
    </row>
    <row r="19" spans="1:8" ht="15.75" thickBot="1" x14ac:dyDescent="0.3">
      <c r="A19" s="196" t="s">
        <v>402</v>
      </c>
      <c r="B19" s="196"/>
      <c r="C19" s="117">
        <f>C16/$G$16</f>
        <v>0.34873092858268878</v>
      </c>
      <c r="D19" s="117">
        <f>C17+D17</f>
        <v>0.76883119673308109</v>
      </c>
      <c r="E19" s="117">
        <f>SUM(C17:E17)</f>
        <v>0.92839679161570587</v>
      </c>
      <c r="F19" s="122">
        <f>SUM(C17:F17)</f>
        <v>0.99999999999999989</v>
      </c>
      <c r="G19" s="123"/>
      <c r="H19" s="124"/>
    </row>
    <row r="21" spans="1:8" ht="15.75" thickBot="1" x14ac:dyDescent="0.3"/>
    <row r="22" spans="1:8" ht="69" customHeight="1" thickBot="1" x14ac:dyDescent="0.3">
      <c r="A22" s="186" t="s">
        <v>392</v>
      </c>
      <c r="B22" s="186"/>
      <c r="C22" s="186"/>
      <c r="D22" s="186"/>
      <c r="E22" s="186"/>
      <c r="F22" s="186"/>
      <c r="G22" s="186"/>
      <c r="H22" s="186"/>
    </row>
    <row r="23" spans="1:8" ht="69" customHeight="1" thickBot="1" x14ac:dyDescent="0.3">
      <c r="A23" s="186"/>
      <c r="B23" s="186"/>
      <c r="C23" s="186"/>
      <c r="D23" s="186"/>
      <c r="E23" s="186"/>
      <c r="F23" s="186"/>
      <c r="G23" s="186"/>
      <c r="H23" s="186"/>
    </row>
    <row r="24" spans="1:8" ht="15.75" thickBot="1" x14ac:dyDescent="0.3">
      <c r="A24" s="187" t="s">
        <v>339</v>
      </c>
      <c r="B24" s="187"/>
      <c r="C24" s="187"/>
      <c r="D24" s="187"/>
      <c r="E24" s="187"/>
      <c r="F24" s="187"/>
      <c r="G24" s="187"/>
      <c r="H24" s="187"/>
    </row>
    <row r="25" spans="1:8" ht="15.75" thickBot="1" x14ac:dyDescent="0.3">
      <c r="A25" s="187" t="s">
        <v>338</v>
      </c>
      <c r="B25" s="187"/>
      <c r="C25" s="187"/>
      <c r="D25" s="187"/>
      <c r="E25" s="187"/>
      <c r="F25" s="187"/>
      <c r="G25" s="187"/>
      <c r="H25" s="187"/>
    </row>
    <row r="26" spans="1:8" ht="15.75" thickBot="1" x14ac:dyDescent="0.3">
      <c r="A26" s="162" t="s">
        <v>0</v>
      </c>
      <c r="B26" s="163" t="s">
        <v>394</v>
      </c>
      <c r="C26" s="163" t="s">
        <v>395</v>
      </c>
      <c r="D26" s="163"/>
      <c r="E26" s="163"/>
      <c r="F26" s="163"/>
      <c r="G26" s="188" t="s">
        <v>391</v>
      </c>
      <c r="H26" s="189" t="s">
        <v>396</v>
      </c>
    </row>
    <row r="27" spans="1:8" ht="15.75" thickBot="1" x14ac:dyDescent="0.3">
      <c r="A27" s="162"/>
      <c r="B27" s="163"/>
      <c r="C27" s="13">
        <v>1</v>
      </c>
      <c r="D27" s="13">
        <v>2</v>
      </c>
      <c r="E27" s="58">
        <v>3</v>
      </c>
      <c r="F27" s="58">
        <v>4</v>
      </c>
      <c r="G27" s="188"/>
      <c r="H27" s="189"/>
    </row>
    <row r="28" spans="1:8" ht="15.75" thickBot="1" x14ac:dyDescent="0.3">
      <c r="A28" s="162" t="s">
        <v>7</v>
      </c>
      <c r="B28" s="163" t="s">
        <v>12</v>
      </c>
      <c r="C28" s="91">
        <f>('ORÇAMENTO - SÃO JOSÉ'!$I$7)*0.5</f>
        <v>23347.165000000001</v>
      </c>
      <c r="D28" s="91">
        <f>('ORÇAMENTO - SÃO JOSÉ'!$I$7)*0.5</f>
        <v>23347.165000000001</v>
      </c>
      <c r="E28" s="92"/>
      <c r="F28" s="93"/>
      <c r="G28" s="94">
        <f>SUM(C28:F28)</f>
        <v>46694.33</v>
      </c>
      <c r="H28" s="193">
        <f>G28/$G$37</f>
        <v>0.74972323504236926</v>
      </c>
    </row>
    <row r="29" spans="1:8" ht="15.75" thickBot="1" x14ac:dyDescent="0.3">
      <c r="A29" s="162"/>
      <c r="B29" s="163"/>
      <c r="C29" s="95">
        <f>C28/$G$28</f>
        <v>0.5</v>
      </c>
      <c r="D29" s="96">
        <f>D28/$G$28</f>
        <v>0.5</v>
      </c>
      <c r="E29" s="97"/>
      <c r="F29" s="98"/>
      <c r="G29" s="99">
        <f t="shared" ref="G29:G35" si="1">SUM(C29:F29)</f>
        <v>1</v>
      </c>
      <c r="H29" s="193"/>
    </row>
    <row r="30" spans="1:8" ht="15.75" thickBot="1" x14ac:dyDescent="0.3">
      <c r="A30" s="162" t="s">
        <v>19</v>
      </c>
      <c r="B30" s="198" t="s">
        <v>397</v>
      </c>
      <c r="C30" s="199"/>
      <c r="D30" s="94">
        <f>('ORÇAMENTO - SÃO JOSÉ'!$I$13)*0.3</f>
        <v>1828.152</v>
      </c>
      <c r="E30" s="94">
        <f>('ORÇAMENTO - SÃO JOSÉ'!$I$13)*0.7</f>
        <v>4265.6880000000001</v>
      </c>
      <c r="F30" s="101"/>
      <c r="G30" s="94">
        <f t="shared" si="1"/>
        <v>6093.84</v>
      </c>
      <c r="H30" s="193">
        <f>G30/$G$37</f>
        <v>9.7842574004822255E-2</v>
      </c>
    </row>
    <row r="31" spans="1:8" ht="15.75" thickBot="1" x14ac:dyDescent="0.3">
      <c r="A31" s="162"/>
      <c r="B31" s="198"/>
      <c r="C31" s="200"/>
      <c r="D31" s="102">
        <f>D30/$G$30</f>
        <v>0.3</v>
      </c>
      <c r="E31" s="103">
        <f>E30/$G$30</f>
        <v>0.7</v>
      </c>
      <c r="F31" s="104"/>
      <c r="G31" s="99">
        <f t="shared" si="1"/>
        <v>1</v>
      </c>
      <c r="H31" s="193"/>
    </row>
    <row r="32" spans="1:8" ht="15.75" thickBot="1" x14ac:dyDescent="0.3">
      <c r="A32" s="162" t="s">
        <v>65</v>
      </c>
      <c r="B32" s="198" t="s">
        <v>398</v>
      </c>
      <c r="C32" s="200"/>
      <c r="D32" s="94">
        <f>('ORÇAMENTO - SÃO JOSÉ'!$I$46)*0.3</f>
        <v>2272.1640000000002</v>
      </c>
      <c r="E32" s="94">
        <f>('ORÇAMENTO - SÃO JOSÉ'!$I$46)*0.35</f>
        <v>2650.8580000000002</v>
      </c>
      <c r="F32" s="94">
        <f>('ORÇAMENTO - SÃO JOSÉ'!$I$46)*0.35</f>
        <v>2650.8580000000002</v>
      </c>
      <c r="G32" s="14">
        <f t="shared" si="1"/>
        <v>7573.880000000001</v>
      </c>
      <c r="H32" s="193">
        <f>G32/$G$37</f>
        <v>0.12160606684843107</v>
      </c>
    </row>
    <row r="33" spans="1:8" ht="15.75" thickBot="1" x14ac:dyDescent="0.3">
      <c r="A33" s="162"/>
      <c r="B33" s="198"/>
      <c r="C33" s="200"/>
      <c r="D33" s="105">
        <f>D32/$G$32</f>
        <v>0.3</v>
      </c>
      <c r="E33" s="106">
        <f>E32/$G$32</f>
        <v>0.35</v>
      </c>
      <c r="F33" s="106">
        <f>F32/$G$32</f>
        <v>0.35</v>
      </c>
      <c r="G33" s="107">
        <f t="shared" si="1"/>
        <v>0.99999999999999989</v>
      </c>
      <c r="H33" s="193"/>
    </row>
    <row r="34" spans="1:8" ht="15.75" thickBot="1" x14ac:dyDescent="0.3">
      <c r="A34" s="162" t="s">
        <v>106</v>
      </c>
      <c r="B34" s="191" t="s">
        <v>107</v>
      </c>
      <c r="C34" s="200"/>
      <c r="D34" s="108"/>
      <c r="E34" s="94">
        <f>('ORÇAMENTO - SÃO JOSÉ'!$I$79)*0.6</f>
        <v>1152.0239999999999</v>
      </c>
      <c r="F34" s="94">
        <f>('ORÇAMENTO - SÃO JOSÉ'!$I$79)*0.4</f>
        <v>768.01600000000008</v>
      </c>
      <c r="G34" s="14">
        <f t="shared" si="1"/>
        <v>1920.04</v>
      </c>
      <c r="H34" s="193">
        <f>G34/$G$37</f>
        <v>3.0828124104377356E-2</v>
      </c>
    </row>
    <row r="35" spans="1:8" ht="15.75" thickBot="1" x14ac:dyDescent="0.3">
      <c r="A35" s="190"/>
      <c r="B35" s="192"/>
      <c r="C35" s="201"/>
      <c r="D35" s="109"/>
      <c r="E35" s="110">
        <f>E34/$G$34</f>
        <v>0.6</v>
      </c>
      <c r="F35" s="111">
        <f>F34/$G$34</f>
        <v>0.4</v>
      </c>
      <c r="G35" s="111">
        <f t="shared" si="1"/>
        <v>1</v>
      </c>
      <c r="H35" s="194"/>
    </row>
    <row r="36" spans="1:8" ht="15.75" thickBot="1" x14ac:dyDescent="0.3">
      <c r="A36" s="112"/>
      <c r="B36" s="113"/>
      <c r="C36" s="114"/>
      <c r="D36" s="114"/>
      <c r="E36" s="113"/>
      <c r="F36" s="113"/>
      <c r="G36" s="115"/>
      <c r="H36" s="110"/>
    </row>
    <row r="37" spans="1:8" ht="15.75" thickBot="1" x14ac:dyDescent="0.3">
      <c r="A37" s="195" t="s">
        <v>399</v>
      </c>
      <c r="B37" s="195"/>
      <c r="C37" s="80">
        <f>SUM(C28,C30,C32,C34)</f>
        <v>23347.165000000001</v>
      </c>
      <c r="D37" s="80">
        <f>SUM(D28,D30,D32,D34)</f>
        <v>27447.481000000003</v>
      </c>
      <c r="E37" s="79">
        <f>SUM(E28,E30,E32,E34)</f>
        <v>8068.57</v>
      </c>
      <c r="F37" s="79">
        <f>SUM(F28,F30,F32,F34)</f>
        <v>3418.8740000000003</v>
      </c>
      <c r="G37" s="100">
        <f>SUM(G28,G30,G32,G34)</f>
        <v>62282.090000000004</v>
      </c>
      <c r="H37" s="116"/>
    </row>
    <row r="38" spans="1:8" ht="15.75" thickBot="1" x14ac:dyDescent="0.3">
      <c r="A38" s="196" t="s">
        <v>400</v>
      </c>
      <c r="B38" s="196"/>
      <c r="C38" s="117">
        <f>C37/$G$37</f>
        <v>0.37486161752118463</v>
      </c>
      <c r="D38" s="117">
        <f>D37/$G$37</f>
        <v>0.44069620977716067</v>
      </c>
      <c r="E38" s="117">
        <f>E37/$G$37</f>
        <v>0.12954879966295285</v>
      </c>
      <c r="F38" s="117">
        <f>F37/$G$37</f>
        <v>5.4893373038701815E-2</v>
      </c>
      <c r="G38" s="118">
        <f>G37/$G$37</f>
        <v>1</v>
      </c>
      <c r="H38" s="119"/>
    </row>
    <row r="39" spans="1:8" ht="15.75" thickBot="1" x14ac:dyDescent="0.3">
      <c r="A39" s="197" t="s">
        <v>401</v>
      </c>
      <c r="B39" s="197"/>
      <c r="C39" s="14">
        <f>C37</f>
        <v>23347.165000000001</v>
      </c>
      <c r="D39" s="14">
        <f>C37+D37</f>
        <v>50794.646000000008</v>
      </c>
      <c r="E39" s="14">
        <f>SUM(C37:E37)</f>
        <v>58863.216000000008</v>
      </c>
      <c r="F39" s="120">
        <f>SUM(C37:F37)</f>
        <v>62282.090000000011</v>
      </c>
      <c r="G39" s="108"/>
      <c r="H39" s="121"/>
    </row>
    <row r="40" spans="1:8" ht="15.75" thickBot="1" x14ac:dyDescent="0.3">
      <c r="A40" s="196" t="s">
        <v>402</v>
      </c>
      <c r="B40" s="196"/>
      <c r="C40" s="117">
        <f>C37/$G$37</f>
        <v>0.37486161752118463</v>
      </c>
      <c r="D40" s="117">
        <f>C38+D38</f>
        <v>0.81555782729834525</v>
      </c>
      <c r="E40" s="117">
        <f>SUM(C38:E38)</f>
        <v>0.9451066269612981</v>
      </c>
      <c r="F40" s="122">
        <f>SUM(C38:F38)</f>
        <v>0.99999999999999989</v>
      </c>
      <c r="G40" s="123"/>
      <c r="H40" s="124"/>
    </row>
    <row r="42" spans="1:8" ht="15.75" thickBot="1" x14ac:dyDescent="0.3"/>
    <row r="43" spans="1:8" ht="69.75" customHeight="1" x14ac:dyDescent="0.25">
      <c r="A43" s="212" t="s">
        <v>392</v>
      </c>
      <c r="B43" s="213"/>
      <c r="C43" s="213"/>
      <c r="D43" s="213"/>
      <c r="E43" s="213"/>
      <c r="F43" s="213"/>
      <c r="G43" s="213"/>
      <c r="H43" s="214"/>
    </row>
    <row r="44" spans="1:8" ht="69.75" customHeight="1" thickBot="1" x14ac:dyDescent="0.3">
      <c r="A44" s="215"/>
      <c r="B44" s="216"/>
      <c r="C44" s="216"/>
      <c r="D44" s="216"/>
      <c r="E44" s="216"/>
      <c r="F44" s="216"/>
      <c r="G44" s="216"/>
      <c r="H44" s="217"/>
    </row>
    <row r="45" spans="1:8" ht="15.75" thickBot="1" x14ac:dyDescent="0.3">
      <c r="A45" s="202" t="s">
        <v>339</v>
      </c>
      <c r="B45" s="142"/>
      <c r="C45" s="142"/>
      <c r="D45" s="142"/>
      <c r="E45" s="142"/>
      <c r="F45" s="142"/>
      <c r="G45" s="142"/>
      <c r="H45" s="143"/>
    </row>
    <row r="46" spans="1:8" ht="15.75" thickBot="1" x14ac:dyDescent="0.3">
      <c r="A46" s="202" t="s">
        <v>451</v>
      </c>
      <c r="B46" s="142"/>
      <c r="C46" s="142"/>
      <c r="D46" s="142"/>
      <c r="E46" s="142"/>
      <c r="F46" s="142"/>
      <c r="G46" s="142"/>
      <c r="H46" s="143"/>
    </row>
    <row r="47" spans="1:8" ht="15.75" thickBot="1" x14ac:dyDescent="0.3">
      <c r="A47" s="190" t="s">
        <v>0</v>
      </c>
      <c r="B47" s="204" t="s">
        <v>394</v>
      </c>
      <c r="C47" s="198" t="s">
        <v>395</v>
      </c>
      <c r="D47" s="206"/>
      <c r="E47" s="206"/>
      <c r="F47" s="207"/>
      <c r="G47" s="208" t="s">
        <v>391</v>
      </c>
      <c r="H47" s="210" t="s">
        <v>396</v>
      </c>
    </row>
    <row r="48" spans="1:8" ht="15.75" thickBot="1" x14ac:dyDescent="0.3">
      <c r="A48" s="203"/>
      <c r="B48" s="205"/>
      <c r="C48" s="13">
        <v>1</v>
      </c>
      <c r="D48" s="13">
        <v>2</v>
      </c>
      <c r="E48" s="58">
        <v>3</v>
      </c>
      <c r="F48" s="58">
        <v>4</v>
      </c>
      <c r="G48" s="209"/>
      <c r="H48" s="211"/>
    </row>
    <row r="49" spans="1:8" ht="15.75" customHeight="1" thickBot="1" x14ac:dyDescent="0.3">
      <c r="A49" s="190" t="s">
        <v>7</v>
      </c>
      <c r="B49" s="204" t="s">
        <v>12</v>
      </c>
      <c r="C49" s="91">
        <f>('ORÇAMENTO - NS FÁTIMA'!$I$7)*0.5</f>
        <v>21725.255000000001</v>
      </c>
      <c r="D49" s="91">
        <f>('ORÇAMENTO - NS FÁTIMA'!$I$7)*0.5</f>
        <v>21725.255000000001</v>
      </c>
      <c r="E49" s="92"/>
      <c r="F49" s="93"/>
      <c r="G49" s="94">
        <f>SUM(C49:F49)</f>
        <v>43450.51</v>
      </c>
      <c r="H49" s="194">
        <f>G49/$G$58</f>
        <v>0.6618435164391927</v>
      </c>
    </row>
    <row r="50" spans="1:8" ht="15.75" thickBot="1" x14ac:dyDescent="0.3">
      <c r="A50" s="203"/>
      <c r="B50" s="205"/>
      <c r="C50" s="95">
        <f>C49/$G$49</f>
        <v>0.5</v>
      </c>
      <c r="D50" s="96">
        <f>D49/$G$49</f>
        <v>0.5</v>
      </c>
      <c r="E50" s="97"/>
      <c r="F50" s="98"/>
      <c r="G50" s="99">
        <f t="shared" ref="G50:G56" si="2">SUM(C50:F50)</f>
        <v>1</v>
      </c>
      <c r="H50" s="218"/>
    </row>
    <row r="51" spans="1:8" ht="15.75" customHeight="1" thickBot="1" x14ac:dyDescent="0.3">
      <c r="A51" s="190" t="s">
        <v>19</v>
      </c>
      <c r="B51" s="204" t="s">
        <v>397</v>
      </c>
      <c r="C51" s="199"/>
      <c r="D51" s="94">
        <f>('ORÇAMENTO - NS FÁTIMA'!$I$12)*0.3</f>
        <v>2580.5640000000003</v>
      </c>
      <c r="E51" s="94">
        <f>('ORÇAMENTO - NS FÁTIMA'!$I$12)*0.7</f>
        <v>6021.3160000000007</v>
      </c>
      <c r="F51" s="101"/>
      <c r="G51" s="94">
        <f t="shared" si="2"/>
        <v>8601.880000000001</v>
      </c>
      <c r="H51" s="194">
        <f>G51/$G$58</f>
        <v>0.13102489492500696</v>
      </c>
    </row>
    <row r="52" spans="1:8" ht="15.75" thickBot="1" x14ac:dyDescent="0.3">
      <c r="A52" s="203"/>
      <c r="B52" s="205"/>
      <c r="C52" s="200"/>
      <c r="D52" s="102">
        <f>D51/$G$51</f>
        <v>0.3</v>
      </c>
      <c r="E52" s="103">
        <f>E51/$G$51</f>
        <v>0.7</v>
      </c>
      <c r="F52" s="104"/>
      <c r="G52" s="99">
        <f t="shared" si="2"/>
        <v>1</v>
      </c>
      <c r="H52" s="218"/>
    </row>
    <row r="53" spans="1:8" ht="15.75" thickBot="1" x14ac:dyDescent="0.3">
      <c r="A53" s="190" t="s">
        <v>65</v>
      </c>
      <c r="B53" s="204" t="s">
        <v>398</v>
      </c>
      <c r="C53" s="200"/>
      <c r="D53" s="94">
        <f>('ORÇAMENTO - NS FÁTIMA'!$I$45)*0.3</f>
        <v>2986.1760000000004</v>
      </c>
      <c r="E53" s="94">
        <f>('ORÇAMENTO - NS FÁTIMA'!$I$45)*0.35</f>
        <v>3483.8720000000003</v>
      </c>
      <c r="F53" s="94">
        <f>('ORÇAMENTO - NS FÁTIMA'!$I$45)*0.35</f>
        <v>3483.8720000000003</v>
      </c>
      <c r="G53" s="14">
        <f t="shared" si="2"/>
        <v>9953.9200000000019</v>
      </c>
      <c r="H53" s="194">
        <f>G53/$G$58</f>
        <v>0.15161933462126015</v>
      </c>
    </row>
    <row r="54" spans="1:8" ht="15.75" thickBot="1" x14ac:dyDescent="0.3">
      <c r="A54" s="203"/>
      <c r="B54" s="205"/>
      <c r="C54" s="200"/>
      <c r="D54" s="105">
        <f>D53/$G$53</f>
        <v>0.3</v>
      </c>
      <c r="E54" s="106">
        <f>E53/$G$53</f>
        <v>0.35</v>
      </c>
      <c r="F54" s="106">
        <f>F53/$G$53</f>
        <v>0.35</v>
      </c>
      <c r="G54" s="107">
        <f t="shared" si="2"/>
        <v>0.99999999999999989</v>
      </c>
      <c r="H54" s="218"/>
    </row>
    <row r="55" spans="1:8" ht="15.75" thickBot="1" x14ac:dyDescent="0.3">
      <c r="A55" s="190" t="s">
        <v>106</v>
      </c>
      <c r="B55" s="190" t="s">
        <v>107</v>
      </c>
      <c r="C55" s="200"/>
      <c r="D55" s="108"/>
      <c r="E55" s="94">
        <f>('ORÇAMENTO - NS FÁTIMA'!$I$78)*0.6</f>
        <v>2186.652</v>
      </c>
      <c r="F55" s="94">
        <f>('ORÇAMENTO - NS FÁTIMA'!$I$78)*0.4</f>
        <v>1457.7680000000003</v>
      </c>
      <c r="G55" s="14">
        <f t="shared" si="2"/>
        <v>3644.42</v>
      </c>
      <c r="H55" s="194">
        <f>G55/$G$58</f>
        <v>5.5512254014540283E-2</v>
      </c>
    </row>
    <row r="56" spans="1:8" ht="15.75" thickBot="1" x14ac:dyDescent="0.3">
      <c r="A56" s="203"/>
      <c r="B56" s="203"/>
      <c r="C56" s="201"/>
      <c r="D56" s="109"/>
      <c r="E56" s="110">
        <f>E55/$G$55</f>
        <v>0.6</v>
      </c>
      <c r="F56" s="111">
        <f>F55/$G$55</f>
        <v>0.40000000000000008</v>
      </c>
      <c r="G56" s="111">
        <f t="shared" si="2"/>
        <v>1</v>
      </c>
      <c r="H56" s="218"/>
    </row>
    <row r="57" spans="1:8" ht="15.75" thickBot="1" x14ac:dyDescent="0.3">
      <c r="A57" s="112"/>
      <c r="B57" s="113"/>
      <c r="C57" s="114"/>
      <c r="D57" s="114"/>
      <c r="E57" s="113"/>
      <c r="F57" s="113"/>
      <c r="G57" s="115"/>
      <c r="H57" s="110"/>
    </row>
    <row r="58" spans="1:8" ht="15.75" thickBot="1" x14ac:dyDescent="0.3">
      <c r="A58" s="219" t="s">
        <v>399</v>
      </c>
      <c r="B58" s="220"/>
      <c r="C58" s="80">
        <f>SUM(C49,C51,C53,C55)</f>
        <v>21725.255000000001</v>
      </c>
      <c r="D58" s="80">
        <f>SUM(D49,D51,D53,D55)</f>
        <v>27291.995000000003</v>
      </c>
      <c r="E58" s="79">
        <f>SUM(E49,E51,E53,E55)</f>
        <v>11691.840000000002</v>
      </c>
      <c r="F58" s="79">
        <f>SUM(F49,F51,F53,F55)</f>
        <v>4941.6400000000003</v>
      </c>
      <c r="G58" s="100">
        <f>SUM(G49,G51,G53,G55)</f>
        <v>65650.73</v>
      </c>
      <c r="H58" s="116"/>
    </row>
    <row r="59" spans="1:8" ht="15.75" thickBot="1" x14ac:dyDescent="0.3">
      <c r="A59" s="221" t="s">
        <v>400</v>
      </c>
      <c r="B59" s="222"/>
      <c r="C59" s="117">
        <f>C58/$G$58</f>
        <v>0.33092175821959635</v>
      </c>
      <c r="D59" s="117">
        <f>D58/$G$58</f>
        <v>0.41571502708347652</v>
      </c>
      <c r="E59" s="117">
        <f>E58/$G$58</f>
        <v>0.17809154597367011</v>
      </c>
      <c r="F59" s="117">
        <f>F58/$G$58</f>
        <v>7.5271668723257162E-2</v>
      </c>
      <c r="G59" s="118">
        <f>G58/$G$58</f>
        <v>1</v>
      </c>
      <c r="H59" s="119"/>
    </row>
    <row r="60" spans="1:8" ht="15.75" thickBot="1" x14ac:dyDescent="0.3">
      <c r="A60" s="219" t="s">
        <v>401</v>
      </c>
      <c r="B60" s="220"/>
      <c r="C60" s="14">
        <f>C58</f>
        <v>21725.255000000001</v>
      </c>
      <c r="D60" s="14">
        <f>C58+D58</f>
        <v>49017.25</v>
      </c>
      <c r="E60" s="14">
        <f>SUM(C58:E58)</f>
        <v>60709.090000000004</v>
      </c>
      <c r="F60" s="120">
        <f>SUM(C58:F58)</f>
        <v>65650.73000000001</v>
      </c>
      <c r="G60" s="108"/>
      <c r="H60" s="121"/>
    </row>
    <row r="61" spans="1:8" ht="15.75" thickBot="1" x14ac:dyDescent="0.3">
      <c r="A61" s="221" t="s">
        <v>402</v>
      </c>
      <c r="B61" s="222"/>
      <c r="C61" s="117">
        <f>C58/$G$58</f>
        <v>0.33092175821959635</v>
      </c>
      <c r="D61" s="117">
        <f>C59+D59</f>
        <v>0.74663678530307287</v>
      </c>
      <c r="E61" s="117">
        <f>SUM(C59:E59)</f>
        <v>0.92472833127674292</v>
      </c>
      <c r="F61" s="122">
        <f>SUM(C59:F59)</f>
        <v>1</v>
      </c>
      <c r="G61" s="123"/>
      <c r="H61" s="124"/>
    </row>
    <row r="63" spans="1:8" ht="15.75" thickBot="1" x14ac:dyDescent="0.3"/>
    <row r="64" spans="1:8" ht="69" customHeight="1" x14ac:dyDescent="0.25">
      <c r="A64" s="212" t="s">
        <v>392</v>
      </c>
      <c r="B64" s="213"/>
      <c r="C64" s="213"/>
      <c r="D64" s="213"/>
      <c r="E64" s="213"/>
      <c r="F64" s="213"/>
      <c r="G64" s="213"/>
      <c r="H64" s="214"/>
    </row>
    <row r="65" spans="1:8" ht="69" customHeight="1" thickBot="1" x14ac:dyDescent="0.3">
      <c r="A65" s="215"/>
      <c r="B65" s="216"/>
      <c r="C65" s="216"/>
      <c r="D65" s="216"/>
      <c r="E65" s="216"/>
      <c r="F65" s="216"/>
      <c r="G65" s="216"/>
      <c r="H65" s="217"/>
    </row>
    <row r="66" spans="1:8" ht="15.75" thickBot="1" x14ac:dyDescent="0.3">
      <c r="A66" s="202" t="s">
        <v>339</v>
      </c>
      <c r="B66" s="142"/>
      <c r="C66" s="142"/>
      <c r="D66" s="142"/>
      <c r="E66" s="142"/>
      <c r="F66" s="142"/>
      <c r="G66" s="142"/>
      <c r="H66" s="143"/>
    </row>
    <row r="67" spans="1:8" ht="15.75" thickBot="1" x14ac:dyDescent="0.3">
      <c r="A67" s="202" t="s">
        <v>379</v>
      </c>
      <c r="B67" s="142"/>
      <c r="C67" s="142"/>
      <c r="D67" s="142"/>
      <c r="E67" s="142"/>
      <c r="F67" s="142"/>
      <c r="G67" s="142"/>
      <c r="H67" s="143"/>
    </row>
    <row r="68" spans="1:8" ht="15.75" thickBot="1" x14ac:dyDescent="0.3">
      <c r="A68" s="190" t="s">
        <v>0</v>
      </c>
      <c r="B68" s="204" t="s">
        <v>394</v>
      </c>
      <c r="C68" s="198" t="s">
        <v>395</v>
      </c>
      <c r="D68" s="206"/>
      <c r="E68" s="206"/>
      <c r="F68" s="207"/>
      <c r="G68" s="208" t="s">
        <v>391</v>
      </c>
      <c r="H68" s="210" t="s">
        <v>396</v>
      </c>
    </row>
    <row r="69" spans="1:8" ht="15.75" thickBot="1" x14ac:dyDescent="0.3">
      <c r="A69" s="203"/>
      <c r="B69" s="205"/>
      <c r="C69" s="13">
        <v>1</v>
      </c>
      <c r="D69" s="13">
        <v>2</v>
      </c>
      <c r="E69" s="58">
        <v>3</v>
      </c>
      <c r="F69" s="58">
        <v>4</v>
      </c>
      <c r="G69" s="209"/>
      <c r="H69" s="211"/>
    </row>
    <row r="70" spans="1:8" ht="15.75" customHeight="1" thickBot="1" x14ac:dyDescent="0.3">
      <c r="A70" s="190" t="s">
        <v>7</v>
      </c>
      <c r="B70" s="204" t="s">
        <v>12</v>
      </c>
      <c r="C70" s="91">
        <f>('ORÇAMENTO - F. SERÁFICO'!$I$7)*0.5</f>
        <v>25076.955000000002</v>
      </c>
      <c r="D70" s="91">
        <f>('ORÇAMENTO - F. SERÁFICO'!$I$7)*0.5</f>
        <v>25076.955000000002</v>
      </c>
      <c r="E70" s="92"/>
      <c r="F70" s="93"/>
      <c r="G70" s="94">
        <f>SUM(C70:F70)</f>
        <v>50153.91</v>
      </c>
      <c r="H70" s="194">
        <f>G70/$G$79</f>
        <v>0.63284389229596916</v>
      </c>
    </row>
    <row r="71" spans="1:8" ht="15.75" thickBot="1" x14ac:dyDescent="0.3">
      <c r="A71" s="203"/>
      <c r="B71" s="205"/>
      <c r="C71" s="95">
        <f>C70/$G$70</f>
        <v>0.5</v>
      </c>
      <c r="D71" s="96">
        <f>D70/$G$70</f>
        <v>0.5</v>
      </c>
      <c r="E71" s="97"/>
      <c r="F71" s="98"/>
      <c r="G71" s="99">
        <f t="shared" ref="G71:G77" si="3">SUM(C71:F71)</f>
        <v>1</v>
      </c>
      <c r="H71" s="218"/>
    </row>
    <row r="72" spans="1:8" ht="15.75" customHeight="1" thickBot="1" x14ac:dyDescent="0.3">
      <c r="A72" s="190" t="s">
        <v>19</v>
      </c>
      <c r="B72" s="204" t="s">
        <v>397</v>
      </c>
      <c r="C72" s="199"/>
      <c r="D72" s="94">
        <f>('ORÇAMENTO - F. SERÁFICO'!$I$12)*0.3</f>
        <v>2580.5640000000003</v>
      </c>
      <c r="E72" s="94">
        <f>('ORÇAMENTO - F. SERÁFICO'!$I$12)*0.7</f>
        <v>6021.3160000000007</v>
      </c>
      <c r="F72" s="101"/>
      <c r="G72" s="94">
        <f t="shared" si="3"/>
        <v>8601.880000000001</v>
      </c>
      <c r="H72" s="194">
        <f t="shared" ref="H72" si="4">G72/$G$79</f>
        <v>0.10853884014751496</v>
      </c>
    </row>
    <row r="73" spans="1:8" ht="15.75" thickBot="1" x14ac:dyDescent="0.3">
      <c r="A73" s="203"/>
      <c r="B73" s="205"/>
      <c r="C73" s="200"/>
      <c r="D73" s="102">
        <f>D72/$G$72</f>
        <v>0.3</v>
      </c>
      <c r="E73" s="103">
        <f>E72/$G$72</f>
        <v>0.7</v>
      </c>
      <c r="F73" s="104"/>
      <c r="G73" s="99">
        <f t="shared" si="3"/>
        <v>1</v>
      </c>
      <c r="H73" s="218"/>
    </row>
    <row r="74" spans="1:8" ht="15.75" thickBot="1" x14ac:dyDescent="0.3">
      <c r="A74" s="190" t="s">
        <v>65</v>
      </c>
      <c r="B74" s="204" t="s">
        <v>398</v>
      </c>
      <c r="C74" s="200"/>
      <c r="D74" s="94">
        <f>('ORÇAMENTO - F. SERÁFICO'!$I$45)*0.3</f>
        <v>2986.1760000000004</v>
      </c>
      <c r="E74" s="94">
        <f>('ORÇAMENTO - F. SERÁFICO'!$I$45)*0.35</f>
        <v>3483.8720000000003</v>
      </c>
      <c r="F74" s="94">
        <f>('ORÇAMENTO - F. SERÁFICO'!$I$45)*0.35</f>
        <v>3483.8720000000003</v>
      </c>
      <c r="G74" s="14">
        <f t="shared" si="3"/>
        <v>9953.9200000000019</v>
      </c>
      <c r="H74" s="194">
        <f t="shared" ref="H74" si="5">G74/$G$79</f>
        <v>0.12559893089896071</v>
      </c>
    </row>
    <row r="75" spans="1:8" ht="15.75" thickBot="1" x14ac:dyDescent="0.3">
      <c r="A75" s="203"/>
      <c r="B75" s="205"/>
      <c r="C75" s="200"/>
      <c r="D75" s="105">
        <f>D74/$G$74</f>
        <v>0.3</v>
      </c>
      <c r="E75" s="106">
        <f>E74/$G$74</f>
        <v>0.35</v>
      </c>
      <c r="F75" s="106">
        <f>F74/$G$74</f>
        <v>0.35</v>
      </c>
      <c r="G75" s="107">
        <f t="shared" si="3"/>
        <v>0.99999999999999989</v>
      </c>
      <c r="H75" s="218"/>
    </row>
    <row r="76" spans="1:8" ht="15.75" thickBot="1" x14ac:dyDescent="0.3">
      <c r="A76" s="190" t="s">
        <v>106</v>
      </c>
      <c r="B76" s="190" t="s">
        <v>107</v>
      </c>
      <c r="C76" s="200"/>
      <c r="D76" s="108"/>
      <c r="E76" s="94">
        <f>('ORÇAMENTO - F. SERÁFICO'!$I$78)*0.6</f>
        <v>6325.152000000001</v>
      </c>
      <c r="F76" s="94">
        <f>('ORÇAMENTO - F. SERÁFICO'!$I$78)*0.4</f>
        <v>4216.7680000000009</v>
      </c>
      <c r="G76" s="14">
        <f t="shared" si="3"/>
        <v>10541.920000000002</v>
      </c>
      <c r="H76" s="194">
        <f t="shared" ref="H76" si="6">G76/$G$79</f>
        <v>0.13301833665755519</v>
      </c>
    </row>
    <row r="77" spans="1:8" ht="15.75" thickBot="1" x14ac:dyDescent="0.3">
      <c r="A77" s="203"/>
      <c r="B77" s="203"/>
      <c r="C77" s="201"/>
      <c r="D77" s="109"/>
      <c r="E77" s="110">
        <f>E76/$G$76</f>
        <v>0.6</v>
      </c>
      <c r="F77" s="110">
        <f>F76/$G$76</f>
        <v>0.4</v>
      </c>
      <c r="G77" s="111">
        <f t="shared" si="3"/>
        <v>1</v>
      </c>
      <c r="H77" s="218"/>
    </row>
    <row r="78" spans="1:8" ht="15.75" thickBot="1" x14ac:dyDescent="0.3">
      <c r="A78" s="112"/>
      <c r="B78" s="113"/>
      <c r="C78" s="114"/>
      <c r="D78" s="114"/>
      <c r="E78" s="113"/>
      <c r="F78" s="113"/>
      <c r="G78" s="115"/>
      <c r="H78" s="110"/>
    </row>
    <row r="79" spans="1:8" ht="15.75" thickBot="1" x14ac:dyDescent="0.3">
      <c r="A79" s="219" t="s">
        <v>399</v>
      </c>
      <c r="B79" s="220"/>
      <c r="C79" s="80">
        <f>SUM(C70,C72,C74,C76)</f>
        <v>25076.955000000002</v>
      </c>
      <c r="D79" s="80">
        <f>SUM(D70,D72,D74,D76)</f>
        <v>30643.695</v>
      </c>
      <c r="E79" s="79">
        <f>SUM(E70,E72,E74,E76)</f>
        <v>15830.340000000004</v>
      </c>
      <c r="F79" s="79">
        <f>SUM(F70,F72,F74,F76)</f>
        <v>7700.6400000000012</v>
      </c>
      <c r="G79" s="100">
        <f>SUM(G70,G72,G74,G76)</f>
        <v>79251.63</v>
      </c>
      <c r="H79" s="116"/>
    </row>
    <row r="80" spans="1:8" ht="15.75" thickBot="1" x14ac:dyDescent="0.3">
      <c r="A80" s="221" t="s">
        <v>400</v>
      </c>
      <c r="B80" s="222"/>
      <c r="C80" s="117">
        <f>C79/$G$79</f>
        <v>0.31642194614798458</v>
      </c>
      <c r="D80" s="117">
        <f t="shared" ref="D80:F80" si="7">D79/$G$79</f>
        <v>0.38666327746192725</v>
      </c>
      <c r="E80" s="117">
        <f t="shared" si="7"/>
        <v>0.19974781591242985</v>
      </c>
      <c r="F80" s="117">
        <f t="shared" si="7"/>
        <v>9.7166960477658326E-2</v>
      </c>
      <c r="G80" s="118">
        <f>G79/$G$79</f>
        <v>1</v>
      </c>
      <c r="H80" s="119"/>
    </row>
    <row r="81" spans="1:8" ht="15.75" thickBot="1" x14ac:dyDescent="0.3">
      <c r="A81" s="219" t="s">
        <v>401</v>
      </c>
      <c r="B81" s="220"/>
      <c r="C81" s="14">
        <f>C79</f>
        <v>25076.955000000002</v>
      </c>
      <c r="D81" s="14">
        <f>C79+D79</f>
        <v>55720.65</v>
      </c>
      <c r="E81" s="14">
        <f>SUM(C79:E79)</f>
        <v>71550.990000000005</v>
      </c>
      <c r="F81" s="120">
        <f>SUM(C79:F79)</f>
        <v>79251.63</v>
      </c>
      <c r="G81" s="108"/>
      <c r="H81" s="121"/>
    </row>
    <row r="82" spans="1:8" ht="15.75" thickBot="1" x14ac:dyDescent="0.3">
      <c r="A82" s="221" t="s">
        <v>402</v>
      </c>
      <c r="B82" s="222"/>
      <c r="C82" s="117">
        <f>C79/$G$79</f>
        <v>0.31642194614798458</v>
      </c>
      <c r="D82" s="117">
        <f>C80+D80</f>
        <v>0.70308522360991188</v>
      </c>
      <c r="E82" s="117">
        <f>SUM(C80:E80)</f>
        <v>0.90283303952234173</v>
      </c>
      <c r="F82" s="122">
        <f>SUM(C80:F80)</f>
        <v>1</v>
      </c>
      <c r="G82" s="123"/>
      <c r="H82" s="124"/>
    </row>
    <row r="84" spans="1:8" ht="15.75" thickBot="1" x14ac:dyDescent="0.3"/>
    <row r="85" spans="1:8" ht="68.25" customHeight="1" x14ac:dyDescent="0.25">
      <c r="A85" s="212" t="s">
        <v>392</v>
      </c>
      <c r="B85" s="213"/>
      <c r="C85" s="213"/>
      <c r="D85" s="213"/>
      <c r="E85" s="213"/>
      <c r="F85" s="213"/>
      <c r="G85" s="213"/>
      <c r="H85" s="214"/>
    </row>
    <row r="86" spans="1:8" ht="68.25" customHeight="1" thickBot="1" x14ac:dyDescent="0.3">
      <c r="A86" s="215"/>
      <c r="B86" s="216"/>
      <c r="C86" s="216"/>
      <c r="D86" s="216"/>
      <c r="E86" s="216"/>
      <c r="F86" s="216"/>
      <c r="G86" s="216"/>
      <c r="H86" s="217"/>
    </row>
    <row r="87" spans="1:8" ht="15.75" thickBot="1" x14ac:dyDescent="0.3">
      <c r="A87" s="202" t="s">
        <v>339</v>
      </c>
      <c r="B87" s="142"/>
      <c r="C87" s="142"/>
      <c r="D87" s="142"/>
      <c r="E87" s="142"/>
      <c r="F87" s="142"/>
      <c r="G87" s="142"/>
      <c r="H87" s="143"/>
    </row>
    <row r="88" spans="1:8" ht="15.75" thickBot="1" x14ac:dyDescent="0.3">
      <c r="A88" s="202" t="s">
        <v>380</v>
      </c>
      <c r="B88" s="142"/>
      <c r="C88" s="142"/>
      <c r="D88" s="142"/>
      <c r="E88" s="142"/>
      <c r="F88" s="142"/>
      <c r="G88" s="142"/>
      <c r="H88" s="143"/>
    </row>
    <row r="89" spans="1:8" ht="15.75" thickBot="1" x14ac:dyDescent="0.3">
      <c r="A89" s="190" t="s">
        <v>0</v>
      </c>
      <c r="B89" s="204" t="s">
        <v>394</v>
      </c>
      <c r="C89" s="198" t="s">
        <v>395</v>
      </c>
      <c r="D89" s="206"/>
      <c r="E89" s="206"/>
      <c r="F89" s="207"/>
      <c r="G89" s="208" t="s">
        <v>391</v>
      </c>
      <c r="H89" s="210" t="s">
        <v>396</v>
      </c>
    </row>
    <row r="90" spans="1:8" ht="15.75" thickBot="1" x14ac:dyDescent="0.3">
      <c r="A90" s="203"/>
      <c r="B90" s="205"/>
      <c r="C90" s="13">
        <v>1</v>
      </c>
      <c r="D90" s="13">
        <v>2</v>
      </c>
      <c r="E90" s="58">
        <v>3</v>
      </c>
      <c r="F90" s="58">
        <v>4</v>
      </c>
      <c r="G90" s="209"/>
      <c r="H90" s="211"/>
    </row>
    <row r="91" spans="1:8" ht="15.75" customHeight="1" thickBot="1" x14ac:dyDescent="0.3">
      <c r="A91" s="190" t="s">
        <v>7</v>
      </c>
      <c r="B91" s="204" t="s">
        <v>12</v>
      </c>
      <c r="C91" s="91">
        <f>('ORÇAMENTO - TRINDADE VERNA'!$I$7)*0.5</f>
        <v>19287.655000000002</v>
      </c>
      <c r="D91" s="91">
        <f>('ORÇAMENTO - TRINDADE VERNA'!$I$7)*0.5</f>
        <v>19287.655000000002</v>
      </c>
      <c r="E91" s="92"/>
      <c r="F91" s="93"/>
      <c r="G91" s="94">
        <f>SUM(C91:F91)</f>
        <v>38575.310000000005</v>
      </c>
      <c r="H91" s="194">
        <f>G91/$G$100</f>
        <v>0.78278074766476513</v>
      </c>
    </row>
    <row r="92" spans="1:8" ht="15.75" thickBot="1" x14ac:dyDescent="0.3">
      <c r="A92" s="203"/>
      <c r="B92" s="205"/>
      <c r="C92" s="95">
        <f>C91/$G$91</f>
        <v>0.5</v>
      </c>
      <c r="D92" s="95">
        <f>D91/$G$91</f>
        <v>0.5</v>
      </c>
      <c r="E92" s="97"/>
      <c r="F92" s="98"/>
      <c r="G92" s="99">
        <f t="shared" ref="G92:G98" si="8">SUM(C92:F92)</f>
        <v>1</v>
      </c>
      <c r="H92" s="218"/>
    </row>
    <row r="93" spans="1:8" ht="15.75" customHeight="1" thickBot="1" x14ac:dyDescent="0.3">
      <c r="A93" s="190" t="s">
        <v>19</v>
      </c>
      <c r="B93" s="204" t="s">
        <v>397</v>
      </c>
      <c r="C93" s="199"/>
      <c r="D93" s="94">
        <f>('ORÇAMENTO - TRINDADE VERNA'!$I$12)*0.3</f>
        <v>1257.9869999999999</v>
      </c>
      <c r="E93" s="94">
        <f>('ORÇAMENTO - TRINDADE VERNA'!$I$12)*0.7</f>
        <v>2935.3029999999999</v>
      </c>
      <c r="F93" s="101"/>
      <c r="G93" s="94">
        <f t="shared" si="8"/>
        <v>4193.29</v>
      </c>
      <c r="H93" s="194">
        <f t="shared" ref="H93" si="9">G93/$G$100</f>
        <v>8.5091388283728184E-2</v>
      </c>
    </row>
    <row r="94" spans="1:8" ht="15.75" thickBot="1" x14ac:dyDescent="0.3">
      <c r="A94" s="203"/>
      <c r="B94" s="205"/>
      <c r="C94" s="200"/>
      <c r="D94" s="102">
        <f>D93/$G$93</f>
        <v>0.3</v>
      </c>
      <c r="E94" s="102">
        <f>E93/$G$93</f>
        <v>0.7</v>
      </c>
      <c r="F94" s="104"/>
      <c r="G94" s="99">
        <f t="shared" si="8"/>
        <v>1</v>
      </c>
      <c r="H94" s="218"/>
    </row>
    <row r="95" spans="1:8" ht="15.75" thickBot="1" x14ac:dyDescent="0.3">
      <c r="A95" s="190" t="s">
        <v>65</v>
      </c>
      <c r="B95" s="204" t="s">
        <v>398</v>
      </c>
      <c r="C95" s="200"/>
      <c r="D95" s="94">
        <f>('ORÇAMENTO - TRINDADE VERNA'!$I$45)*0.3</f>
        <v>1811.9040000000002</v>
      </c>
      <c r="E95" s="94">
        <f>('ORÇAMENTO - TRINDADE VERNA'!$I$45)*0.35</f>
        <v>2113.8880000000004</v>
      </c>
      <c r="F95" s="94">
        <f>('ORÇAMENTO - TRINDADE VERNA'!$I$45)*0.35</f>
        <v>2113.8880000000004</v>
      </c>
      <c r="G95" s="14">
        <f t="shared" si="8"/>
        <v>6039.68</v>
      </c>
      <c r="H95" s="194">
        <f t="shared" ref="H95" si="10">G95/$G$100</f>
        <v>0.12255883947675154</v>
      </c>
    </row>
    <row r="96" spans="1:8" ht="15.75" thickBot="1" x14ac:dyDescent="0.3">
      <c r="A96" s="203"/>
      <c r="B96" s="205"/>
      <c r="C96" s="200"/>
      <c r="D96" s="105">
        <f>D95/$G$95</f>
        <v>0.30000000000000004</v>
      </c>
      <c r="E96" s="105">
        <f t="shared" ref="E96:F96" si="11">E95/$G$95</f>
        <v>0.35000000000000003</v>
      </c>
      <c r="F96" s="105">
        <f t="shared" si="11"/>
        <v>0.35000000000000003</v>
      </c>
      <c r="G96" s="107">
        <f t="shared" si="8"/>
        <v>1.0000000000000002</v>
      </c>
      <c r="H96" s="218"/>
    </row>
    <row r="97" spans="1:8" ht="15.75" thickBot="1" x14ac:dyDescent="0.3">
      <c r="A97" s="190" t="s">
        <v>106</v>
      </c>
      <c r="B97" s="190" t="s">
        <v>107</v>
      </c>
      <c r="C97" s="200"/>
      <c r="D97" s="108"/>
      <c r="E97" s="94">
        <f>('ORÇAMENTO - TRINDADE VERNA'!$I$78)*0.6</f>
        <v>282.93599999999998</v>
      </c>
      <c r="F97" s="94">
        <f>('ORÇAMENTO - TRINDADE VERNA'!$I$78)*0.4</f>
        <v>188.624</v>
      </c>
      <c r="G97" s="14">
        <f t="shared" si="8"/>
        <v>471.55999999999995</v>
      </c>
      <c r="H97" s="194">
        <f t="shared" ref="H97" si="12">G97/$G$100</f>
        <v>9.5690245747551105E-3</v>
      </c>
    </row>
    <row r="98" spans="1:8" ht="15.75" thickBot="1" x14ac:dyDescent="0.3">
      <c r="A98" s="203"/>
      <c r="B98" s="203"/>
      <c r="C98" s="201"/>
      <c r="D98" s="109"/>
      <c r="E98" s="110">
        <f>E97/$G$13</f>
        <v>1.7067017976901831E-2</v>
      </c>
      <c r="F98" s="111">
        <f>F97/$G$13</f>
        <v>1.137801198460122E-2</v>
      </c>
      <c r="G98" s="111">
        <f t="shared" si="8"/>
        <v>2.8445029961503051E-2</v>
      </c>
      <c r="H98" s="218"/>
    </row>
    <row r="99" spans="1:8" ht="15.75" thickBot="1" x14ac:dyDescent="0.3">
      <c r="A99" s="112"/>
      <c r="B99" s="113"/>
      <c r="C99" s="114"/>
      <c r="D99" s="114"/>
      <c r="E99" s="113"/>
      <c r="F99" s="113"/>
      <c r="G99" s="115"/>
      <c r="H99" s="110"/>
    </row>
    <row r="100" spans="1:8" ht="15.75" thickBot="1" x14ac:dyDescent="0.3">
      <c r="A100" s="219" t="s">
        <v>399</v>
      </c>
      <c r="B100" s="220"/>
      <c r="C100" s="80">
        <f>SUM(C91,C93,C95,C97)</f>
        <v>19287.655000000002</v>
      </c>
      <c r="D100" s="80">
        <f>SUM(D91,D93,D95,D97)</f>
        <v>22357.546000000002</v>
      </c>
      <c r="E100" s="79">
        <f>SUM(E91,E93,E95,E97)</f>
        <v>5332.1270000000004</v>
      </c>
      <c r="F100" s="79">
        <f>SUM(F91,F93,F95,F97)</f>
        <v>2302.5120000000002</v>
      </c>
      <c r="G100" s="100">
        <f>SUM(G91,G93,G95,G97)</f>
        <v>49279.840000000004</v>
      </c>
      <c r="H100" s="116"/>
    </row>
    <row r="101" spans="1:8" ht="15.75" thickBot="1" x14ac:dyDescent="0.3">
      <c r="A101" s="221" t="s">
        <v>400</v>
      </c>
      <c r="B101" s="222"/>
      <c r="C101" s="117">
        <f>C100/$G$100</f>
        <v>0.39139037383238257</v>
      </c>
      <c r="D101" s="117">
        <f t="shared" ref="D101:F101" si="13">D100/$G$100</f>
        <v>0.45368544216052648</v>
      </c>
      <c r="E101" s="117">
        <f t="shared" si="13"/>
        <v>0.10820098036032584</v>
      </c>
      <c r="F101" s="117">
        <f t="shared" si="13"/>
        <v>4.6723203646765084E-2</v>
      </c>
      <c r="G101" s="118">
        <f>G100/$G$100</f>
        <v>1</v>
      </c>
      <c r="H101" s="119"/>
    </row>
    <row r="102" spans="1:8" ht="15.75" thickBot="1" x14ac:dyDescent="0.3">
      <c r="A102" s="219" t="s">
        <v>401</v>
      </c>
      <c r="B102" s="220"/>
      <c r="C102" s="14">
        <f>C100</f>
        <v>19287.655000000002</v>
      </c>
      <c r="D102" s="14">
        <f>C100+D100</f>
        <v>41645.201000000001</v>
      </c>
      <c r="E102" s="14">
        <f>SUM(C100:E100)</f>
        <v>46977.328000000001</v>
      </c>
      <c r="F102" s="120">
        <f>SUM(C100:F100)</f>
        <v>49279.840000000004</v>
      </c>
      <c r="G102" s="108"/>
      <c r="H102" s="121"/>
    </row>
    <row r="103" spans="1:8" ht="15.75" thickBot="1" x14ac:dyDescent="0.3">
      <c r="A103" s="221" t="s">
        <v>402</v>
      </c>
      <c r="B103" s="222"/>
      <c r="C103" s="117">
        <f>C100/$G$16</f>
        <v>7.5206006263094177E-2</v>
      </c>
      <c r="D103" s="117">
        <f>C101+D101</f>
        <v>0.84507581599290904</v>
      </c>
      <c r="E103" s="117">
        <f>SUM(C101:E101)</f>
        <v>0.95327679635323492</v>
      </c>
      <c r="F103" s="122">
        <f>SUM(C101:F101)</f>
        <v>1</v>
      </c>
      <c r="G103" s="123"/>
      <c r="H103" s="124"/>
    </row>
  </sheetData>
  <mergeCells count="125">
    <mergeCell ref="A100:B100"/>
    <mergeCell ref="A101:B101"/>
    <mergeCell ref="A102:B102"/>
    <mergeCell ref="A103:B103"/>
    <mergeCell ref="A91:A92"/>
    <mergeCell ref="B91:B92"/>
    <mergeCell ref="H91:H92"/>
    <mergeCell ref="A93:A94"/>
    <mergeCell ref="B93:B94"/>
    <mergeCell ref="C93:C98"/>
    <mergeCell ref="H93:H94"/>
    <mergeCell ref="A95:A96"/>
    <mergeCell ref="B95:B96"/>
    <mergeCell ref="H95:H96"/>
    <mergeCell ref="A97:A98"/>
    <mergeCell ref="B97:B98"/>
    <mergeCell ref="H97:H98"/>
    <mergeCell ref="A87:H87"/>
    <mergeCell ref="A88:H88"/>
    <mergeCell ref="A89:A90"/>
    <mergeCell ref="B89:B90"/>
    <mergeCell ref="C89:F89"/>
    <mergeCell ref="G89:G90"/>
    <mergeCell ref="H89:H90"/>
    <mergeCell ref="A79:B79"/>
    <mergeCell ref="A80:B80"/>
    <mergeCell ref="A81:B81"/>
    <mergeCell ref="A82:B82"/>
    <mergeCell ref="A85:H86"/>
    <mergeCell ref="A70:A71"/>
    <mergeCell ref="B70:B71"/>
    <mergeCell ref="H70:H71"/>
    <mergeCell ref="A72:A73"/>
    <mergeCell ref="B72:B73"/>
    <mergeCell ref="C72:C77"/>
    <mergeCell ref="H72:H73"/>
    <mergeCell ref="A74:A75"/>
    <mergeCell ref="B74:B75"/>
    <mergeCell ref="H74:H75"/>
    <mergeCell ref="A76:A77"/>
    <mergeCell ref="B76:B77"/>
    <mergeCell ref="H76:H77"/>
    <mergeCell ref="A66:H66"/>
    <mergeCell ref="A67:H67"/>
    <mergeCell ref="A68:A69"/>
    <mergeCell ref="B68:B69"/>
    <mergeCell ref="C68:F68"/>
    <mergeCell ref="G68:G69"/>
    <mergeCell ref="H68:H69"/>
    <mergeCell ref="A58:B58"/>
    <mergeCell ref="A59:B59"/>
    <mergeCell ref="A60:B60"/>
    <mergeCell ref="A61:B61"/>
    <mergeCell ref="A64:H65"/>
    <mergeCell ref="A49:A50"/>
    <mergeCell ref="B49:B50"/>
    <mergeCell ref="H49:H50"/>
    <mergeCell ref="A51:A52"/>
    <mergeCell ref="B51:B52"/>
    <mergeCell ref="C51:C56"/>
    <mergeCell ref="H51:H52"/>
    <mergeCell ref="A53:A54"/>
    <mergeCell ref="B53:B54"/>
    <mergeCell ref="H53:H54"/>
    <mergeCell ref="A55:A56"/>
    <mergeCell ref="B55:B56"/>
    <mergeCell ref="H55:H56"/>
    <mergeCell ref="A45:H45"/>
    <mergeCell ref="A46:H46"/>
    <mergeCell ref="A47:A48"/>
    <mergeCell ref="B47:B48"/>
    <mergeCell ref="C47:F47"/>
    <mergeCell ref="G47:G48"/>
    <mergeCell ref="H47:H48"/>
    <mergeCell ref="A37:B37"/>
    <mergeCell ref="A38:B38"/>
    <mergeCell ref="A39:B39"/>
    <mergeCell ref="A40:B40"/>
    <mergeCell ref="A43:H44"/>
    <mergeCell ref="A28:A29"/>
    <mergeCell ref="B28:B29"/>
    <mergeCell ref="H28:H29"/>
    <mergeCell ref="A30:A31"/>
    <mergeCell ref="B30:B31"/>
    <mergeCell ref="C30:C35"/>
    <mergeCell ref="H30:H31"/>
    <mergeCell ref="A32:A33"/>
    <mergeCell ref="B32:B33"/>
    <mergeCell ref="H32:H33"/>
    <mergeCell ref="A34:A35"/>
    <mergeCell ref="B34:B35"/>
    <mergeCell ref="H34:H35"/>
    <mergeCell ref="A22:H23"/>
    <mergeCell ref="A24:H24"/>
    <mergeCell ref="A25:H25"/>
    <mergeCell ref="A26:A27"/>
    <mergeCell ref="B26:B27"/>
    <mergeCell ref="C26:F26"/>
    <mergeCell ref="G26:G27"/>
    <mergeCell ref="H26:H27"/>
    <mergeCell ref="A19:B19"/>
    <mergeCell ref="A16:B16"/>
    <mergeCell ref="A17:B17"/>
    <mergeCell ref="A18:B18"/>
    <mergeCell ref="A7:A8"/>
    <mergeCell ref="B7:B8"/>
    <mergeCell ref="H7:H8"/>
    <mergeCell ref="A9:A10"/>
    <mergeCell ref="B9:B10"/>
    <mergeCell ref="C9:C14"/>
    <mergeCell ref="H9:H10"/>
    <mergeCell ref="A11:A12"/>
    <mergeCell ref="B11:B12"/>
    <mergeCell ref="H11:H12"/>
    <mergeCell ref="A1:H2"/>
    <mergeCell ref="A3:H3"/>
    <mergeCell ref="A4:H4"/>
    <mergeCell ref="A5:A6"/>
    <mergeCell ref="B5:B6"/>
    <mergeCell ref="C5:F5"/>
    <mergeCell ref="G5:G6"/>
    <mergeCell ref="H5:H6"/>
    <mergeCell ref="A13:A14"/>
    <mergeCell ref="B13:B14"/>
    <mergeCell ref="H13:H14"/>
  </mergeCells>
  <pageMargins left="0.511811024" right="0.511811024" top="0.78740157499999996" bottom="0.78740157499999996" header="0.31496062000000002" footer="0.31496062000000002"/>
  <pageSetup paperSize="9" orientation="landscape" r:id="rId1"/>
  <rowBreaks count="5" manualBreakCount="5">
    <brk id="19" max="16383" man="1"/>
    <brk id="40" max="16383" man="1"/>
    <brk id="61" max="16383" man="1"/>
    <brk id="82" max="16383" man="1"/>
    <brk id="10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1B770-8A0C-4E44-8588-6DE7F11062B5}">
  <dimension ref="A1:G53"/>
  <sheetViews>
    <sheetView workbookViewId="0">
      <selection activeCell="F56" sqref="F56"/>
    </sheetView>
  </sheetViews>
  <sheetFormatPr defaultRowHeight="15" x14ac:dyDescent="0.25"/>
  <cols>
    <col min="2" max="5" width="16.42578125" customWidth="1"/>
  </cols>
  <sheetData>
    <row r="1" spans="1:7" ht="62.25" customHeight="1" x14ac:dyDescent="0.25">
      <c r="A1" s="174" t="s">
        <v>354</v>
      </c>
      <c r="B1" s="175"/>
      <c r="C1" s="175"/>
      <c r="D1" s="175"/>
      <c r="E1" s="175"/>
      <c r="F1" s="175"/>
      <c r="G1" s="175"/>
    </row>
    <row r="2" spans="1:7" ht="62.25" customHeight="1" x14ac:dyDescent="0.25">
      <c r="A2" s="174"/>
      <c r="B2" s="175"/>
      <c r="C2" s="175"/>
      <c r="D2" s="175"/>
      <c r="E2" s="175"/>
      <c r="F2" s="175"/>
      <c r="G2" s="175"/>
    </row>
    <row r="3" spans="1:7" x14ac:dyDescent="0.25">
      <c r="A3" s="148" t="s">
        <v>403</v>
      </c>
      <c r="B3" s="148"/>
      <c r="C3" s="148"/>
      <c r="D3" s="148"/>
      <c r="E3" s="148"/>
      <c r="F3" s="148"/>
      <c r="G3" s="148"/>
    </row>
    <row r="4" spans="1:7" ht="18.75" x14ac:dyDescent="0.3">
      <c r="A4" s="225"/>
      <c r="B4" s="225"/>
      <c r="C4" s="225"/>
      <c r="D4" s="225"/>
      <c r="E4" s="225"/>
      <c r="F4" s="225"/>
      <c r="G4" s="225"/>
    </row>
    <row r="5" spans="1:7" x14ac:dyDescent="0.25">
      <c r="A5" s="37" t="s">
        <v>0</v>
      </c>
      <c r="B5" s="226" t="s">
        <v>394</v>
      </c>
      <c r="C5" s="226"/>
      <c r="D5" s="226"/>
      <c r="E5" s="226"/>
      <c r="F5" s="227" t="s">
        <v>404</v>
      </c>
      <c r="G5" s="227"/>
    </row>
    <row r="6" spans="1:7" x14ac:dyDescent="0.25">
      <c r="A6" s="153"/>
      <c r="B6" s="153"/>
      <c r="C6" s="153"/>
      <c r="D6" s="153"/>
      <c r="E6" s="153"/>
      <c r="F6" s="153"/>
      <c r="G6" s="153"/>
    </row>
    <row r="7" spans="1:7" x14ac:dyDescent="0.25">
      <c r="A7" s="39" t="s">
        <v>7</v>
      </c>
      <c r="B7" s="153" t="s">
        <v>405</v>
      </c>
      <c r="C7" s="153"/>
      <c r="D7" s="153"/>
      <c r="E7" s="153"/>
      <c r="F7" s="228"/>
      <c r="G7" s="229"/>
    </row>
    <row r="8" spans="1:7" x14ac:dyDescent="0.25">
      <c r="A8" s="230"/>
      <c r="B8" s="230"/>
      <c r="C8" s="230"/>
      <c r="D8" s="230"/>
      <c r="E8" s="230"/>
      <c r="F8" s="230"/>
      <c r="G8" s="230"/>
    </row>
    <row r="9" spans="1:7" x14ac:dyDescent="0.25">
      <c r="A9" s="39" t="s">
        <v>8</v>
      </c>
      <c r="B9" s="148" t="s">
        <v>406</v>
      </c>
      <c r="C9" s="148"/>
      <c r="D9" s="148"/>
      <c r="E9" s="148"/>
      <c r="F9" s="224">
        <v>0</v>
      </c>
      <c r="G9" s="224"/>
    </row>
    <row r="10" spans="1:7" x14ac:dyDescent="0.25">
      <c r="A10" s="39" t="s">
        <v>9</v>
      </c>
      <c r="B10" s="223" t="s">
        <v>407</v>
      </c>
      <c r="C10" s="223"/>
      <c r="D10" s="223"/>
      <c r="E10" s="223"/>
      <c r="F10" s="224">
        <v>1.4999999999999999E-2</v>
      </c>
      <c r="G10" s="224"/>
    </row>
    <row r="11" spans="1:7" x14ac:dyDescent="0.25">
      <c r="A11" s="39" t="s">
        <v>10</v>
      </c>
      <c r="B11" s="148" t="s">
        <v>408</v>
      </c>
      <c r="C11" s="148"/>
      <c r="D11" s="148"/>
      <c r="E11" s="148"/>
      <c r="F11" s="224">
        <v>0.01</v>
      </c>
      <c r="G11" s="224"/>
    </row>
    <row r="12" spans="1:7" x14ac:dyDescent="0.25">
      <c r="A12" s="39" t="s">
        <v>146</v>
      </c>
      <c r="B12" s="231" t="s">
        <v>409</v>
      </c>
      <c r="C12" s="231"/>
      <c r="D12" s="231"/>
      <c r="E12" s="231"/>
      <c r="F12" s="224">
        <v>2E-3</v>
      </c>
      <c r="G12" s="224"/>
    </row>
    <row r="13" spans="1:7" x14ac:dyDescent="0.25">
      <c r="A13" s="39" t="s">
        <v>149</v>
      </c>
      <c r="B13" s="231" t="s">
        <v>410</v>
      </c>
      <c r="C13" s="231"/>
      <c r="D13" s="231"/>
      <c r="E13" s="231"/>
      <c r="F13" s="224">
        <v>6.0000000000000001E-3</v>
      </c>
      <c r="G13" s="224"/>
    </row>
    <row r="14" spans="1:7" x14ac:dyDescent="0.25">
      <c r="A14" s="39" t="s">
        <v>152</v>
      </c>
      <c r="B14" s="231" t="s">
        <v>411</v>
      </c>
      <c r="C14" s="231"/>
      <c r="D14" s="231"/>
      <c r="E14" s="231"/>
      <c r="F14" s="224">
        <v>2.5000000000000001E-2</v>
      </c>
      <c r="G14" s="224"/>
    </row>
    <row r="15" spans="1:7" x14ac:dyDescent="0.25">
      <c r="A15" s="39" t="s">
        <v>154</v>
      </c>
      <c r="B15" s="231" t="s">
        <v>412</v>
      </c>
      <c r="C15" s="231"/>
      <c r="D15" s="231"/>
      <c r="E15" s="231"/>
      <c r="F15" s="224">
        <v>0.03</v>
      </c>
      <c r="G15" s="224"/>
    </row>
    <row r="16" spans="1:7" x14ac:dyDescent="0.25">
      <c r="A16" s="39" t="s">
        <v>157</v>
      </c>
      <c r="B16" s="231" t="s">
        <v>413</v>
      </c>
      <c r="C16" s="231"/>
      <c r="D16" s="231"/>
      <c r="E16" s="231"/>
      <c r="F16" s="224">
        <v>0.08</v>
      </c>
      <c r="G16" s="224"/>
    </row>
    <row r="17" spans="1:7" x14ac:dyDescent="0.25">
      <c r="A17" s="39" t="s">
        <v>161</v>
      </c>
      <c r="B17" s="231" t="s">
        <v>414</v>
      </c>
      <c r="C17" s="231"/>
      <c r="D17" s="231"/>
      <c r="E17" s="231"/>
      <c r="F17" s="224">
        <v>0</v>
      </c>
      <c r="G17" s="224"/>
    </row>
    <row r="18" spans="1:7" x14ac:dyDescent="0.25">
      <c r="A18" s="230"/>
      <c r="B18" s="230"/>
      <c r="C18" s="230"/>
      <c r="D18" s="230"/>
      <c r="E18" s="230"/>
      <c r="F18" s="230"/>
      <c r="G18" s="230"/>
    </row>
    <row r="19" spans="1:7" x14ac:dyDescent="0.25">
      <c r="A19" s="228"/>
      <c r="B19" s="232"/>
      <c r="C19" s="229"/>
      <c r="D19" s="226" t="s">
        <v>415</v>
      </c>
      <c r="E19" s="226"/>
      <c r="F19" s="227">
        <f>SUM(F9:F17)</f>
        <v>0.16799999999999998</v>
      </c>
      <c r="G19" s="227"/>
    </row>
    <row r="20" spans="1:7" x14ac:dyDescent="0.25">
      <c r="A20" s="230"/>
      <c r="B20" s="230"/>
      <c r="C20" s="230"/>
      <c r="D20" s="230"/>
      <c r="E20" s="230"/>
      <c r="F20" s="230"/>
      <c r="G20" s="230"/>
    </row>
    <row r="21" spans="1:7" x14ac:dyDescent="0.25">
      <c r="A21" s="39" t="s">
        <v>19</v>
      </c>
      <c r="B21" s="153" t="s">
        <v>416</v>
      </c>
      <c r="C21" s="153"/>
      <c r="D21" s="153"/>
      <c r="E21" s="153"/>
      <c r="F21" s="228"/>
      <c r="G21" s="229"/>
    </row>
    <row r="22" spans="1:7" x14ac:dyDescent="0.25">
      <c r="A22" s="230"/>
      <c r="B22" s="230"/>
      <c r="C22" s="230"/>
      <c r="D22" s="230"/>
      <c r="E22" s="230"/>
      <c r="F22" s="230"/>
      <c r="G22" s="230"/>
    </row>
    <row r="23" spans="1:7" x14ac:dyDescent="0.25">
      <c r="A23" s="39" t="s">
        <v>21</v>
      </c>
      <c r="B23" s="148" t="s">
        <v>417</v>
      </c>
      <c r="C23" s="148"/>
      <c r="D23" s="148"/>
      <c r="E23" s="148"/>
      <c r="F23" s="224">
        <v>0.18010000000000001</v>
      </c>
      <c r="G23" s="224"/>
    </row>
    <row r="24" spans="1:7" x14ac:dyDescent="0.25">
      <c r="A24" s="39" t="s">
        <v>23</v>
      </c>
      <c r="B24" s="223" t="s">
        <v>418</v>
      </c>
      <c r="C24" s="223"/>
      <c r="D24" s="223"/>
      <c r="E24" s="223"/>
      <c r="F24" s="224">
        <v>4.2999999999999997E-2</v>
      </c>
      <c r="G24" s="224"/>
    </row>
    <row r="25" spans="1:7" x14ac:dyDescent="0.25">
      <c r="A25" s="39" t="s">
        <v>52</v>
      </c>
      <c r="B25" s="148" t="s">
        <v>419</v>
      </c>
      <c r="C25" s="148"/>
      <c r="D25" s="148"/>
      <c r="E25" s="148"/>
      <c r="F25" s="224">
        <v>8.6999999999999994E-3</v>
      </c>
      <c r="G25" s="224"/>
    </row>
    <row r="26" spans="1:7" x14ac:dyDescent="0.25">
      <c r="A26" s="39" t="s">
        <v>420</v>
      </c>
      <c r="B26" s="231" t="s">
        <v>421</v>
      </c>
      <c r="C26" s="231"/>
      <c r="D26" s="231"/>
      <c r="E26" s="231"/>
      <c r="F26" s="224">
        <v>0.10780000000000001</v>
      </c>
      <c r="G26" s="224"/>
    </row>
    <row r="27" spans="1:7" x14ac:dyDescent="0.25">
      <c r="A27" s="39" t="s">
        <v>422</v>
      </c>
      <c r="B27" s="231" t="s">
        <v>423</v>
      </c>
      <c r="C27" s="231"/>
      <c r="D27" s="231"/>
      <c r="E27" s="231"/>
      <c r="F27" s="224">
        <v>6.9999999999999999E-4</v>
      </c>
      <c r="G27" s="224"/>
    </row>
    <row r="28" spans="1:7" x14ac:dyDescent="0.25">
      <c r="A28" s="39" t="s">
        <v>424</v>
      </c>
      <c r="B28" s="148" t="s">
        <v>425</v>
      </c>
      <c r="C28" s="148"/>
      <c r="D28" s="148"/>
      <c r="E28" s="148"/>
      <c r="F28" s="224">
        <v>7.1999999999999998E-3</v>
      </c>
      <c r="G28" s="224"/>
    </row>
    <row r="29" spans="1:7" x14ac:dyDescent="0.25">
      <c r="A29" s="39" t="s">
        <v>426</v>
      </c>
      <c r="B29" s="223" t="s">
        <v>427</v>
      </c>
      <c r="C29" s="223"/>
      <c r="D29" s="223"/>
      <c r="E29" s="223"/>
      <c r="F29" s="224">
        <v>1.9800000000000002E-2</v>
      </c>
      <c r="G29" s="224"/>
    </row>
    <row r="30" spans="1:7" x14ac:dyDescent="0.25">
      <c r="A30" s="39" t="s">
        <v>428</v>
      </c>
      <c r="B30" s="148" t="s">
        <v>429</v>
      </c>
      <c r="C30" s="148"/>
      <c r="D30" s="148"/>
      <c r="E30" s="148"/>
      <c r="F30" s="224">
        <v>1.1000000000000001E-3</v>
      </c>
      <c r="G30" s="224"/>
    </row>
    <row r="31" spans="1:7" x14ac:dyDescent="0.25">
      <c r="A31" s="39" t="s">
        <v>430</v>
      </c>
      <c r="B31" s="231" t="s">
        <v>431</v>
      </c>
      <c r="C31" s="231"/>
      <c r="D31" s="231"/>
      <c r="E31" s="231"/>
      <c r="F31" s="224">
        <v>0.13639999999999999</v>
      </c>
      <c r="G31" s="224"/>
    </row>
    <row r="32" spans="1:7" x14ac:dyDescent="0.25">
      <c r="A32" s="39" t="s">
        <v>432</v>
      </c>
      <c r="B32" s="231" t="s">
        <v>433</v>
      </c>
      <c r="C32" s="231"/>
      <c r="D32" s="231"/>
      <c r="E32" s="231"/>
      <c r="F32" s="224">
        <v>2.9999999999999997E-4</v>
      </c>
      <c r="G32" s="224"/>
    </row>
    <row r="33" spans="1:7" x14ac:dyDescent="0.25">
      <c r="A33" s="230"/>
      <c r="B33" s="230"/>
      <c r="C33" s="230"/>
      <c r="D33" s="230"/>
      <c r="E33" s="230"/>
      <c r="F33" s="230"/>
      <c r="G33" s="230"/>
    </row>
    <row r="34" spans="1:7" x14ac:dyDescent="0.25">
      <c r="A34" s="228"/>
      <c r="B34" s="232"/>
      <c r="C34" s="229"/>
      <c r="D34" s="226" t="s">
        <v>434</v>
      </c>
      <c r="E34" s="226"/>
      <c r="F34" s="227">
        <f>SUM(F23:F32)</f>
        <v>0.50509999999999988</v>
      </c>
      <c r="G34" s="227"/>
    </row>
    <row r="35" spans="1:7" ht="23.25" x14ac:dyDescent="0.25">
      <c r="A35" s="235"/>
      <c r="B35" s="235"/>
      <c r="C35" s="235"/>
      <c r="D35" s="235"/>
      <c r="E35" s="235"/>
      <c r="F35" s="235"/>
      <c r="G35" s="235"/>
    </row>
    <row r="36" spans="1:7" x14ac:dyDescent="0.25">
      <c r="A36" s="39" t="s">
        <v>65</v>
      </c>
      <c r="B36" s="153" t="s">
        <v>435</v>
      </c>
      <c r="C36" s="153"/>
      <c r="D36" s="153"/>
      <c r="E36" s="153"/>
      <c r="F36" s="233"/>
      <c r="G36" s="234"/>
    </row>
    <row r="37" spans="1:7" x14ac:dyDescent="0.25">
      <c r="A37" s="230"/>
      <c r="B37" s="230"/>
      <c r="C37" s="230"/>
      <c r="D37" s="230"/>
      <c r="E37" s="230"/>
      <c r="F37" s="230"/>
      <c r="G37" s="230"/>
    </row>
    <row r="38" spans="1:7" x14ac:dyDescent="0.25">
      <c r="A38" s="39" t="s">
        <v>66</v>
      </c>
      <c r="B38" s="148" t="s">
        <v>436</v>
      </c>
      <c r="C38" s="148"/>
      <c r="D38" s="148"/>
      <c r="E38" s="148"/>
      <c r="F38" s="224">
        <v>4.4499999999999998E-2</v>
      </c>
      <c r="G38" s="224"/>
    </row>
    <row r="39" spans="1:7" x14ac:dyDescent="0.25">
      <c r="A39" s="39" t="s">
        <v>73</v>
      </c>
      <c r="B39" s="223" t="s">
        <v>437</v>
      </c>
      <c r="C39" s="223"/>
      <c r="D39" s="223"/>
      <c r="E39" s="223"/>
      <c r="F39" s="224">
        <v>1E-3</v>
      </c>
      <c r="G39" s="224"/>
    </row>
    <row r="40" spans="1:7" x14ac:dyDescent="0.25">
      <c r="A40" s="39" t="s">
        <v>103</v>
      </c>
      <c r="B40" s="148" t="s">
        <v>438</v>
      </c>
      <c r="C40" s="148"/>
      <c r="D40" s="148"/>
      <c r="E40" s="148"/>
      <c r="F40" s="224">
        <v>5.0000000000000001E-3</v>
      </c>
      <c r="G40" s="224"/>
    </row>
    <row r="41" spans="1:7" x14ac:dyDescent="0.25">
      <c r="A41" s="39" t="s">
        <v>439</v>
      </c>
      <c r="B41" s="223" t="s">
        <v>440</v>
      </c>
      <c r="C41" s="223"/>
      <c r="D41" s="223"/>
      <c r="E41" s="223"/>
      <c r="F41" s="224">
        <v>4.1000000000000002E-2</v>
      </c>
      <c r="G41" s="224"/>
    </row>
    <row r="42" spans="1:7" x14ac:dyDescent="0.25">
      <c r="A42" s="39" t="s">
        <v>441</v>
      </c>
      <c r="B42" s="148" t="s">
        <v>442</v>
      </c>
      <c r="C42" s="148"/>
      <c r="D42" s="148"/>
      <c r="E42" s="148"/>
      <c r="F42" s="224">
        <v>3.7000000000000002E-3</v>
      </c>
      <c r="G42" s="224"/>
    </row>
    <row r="43" spans="1:7" x14ac:dyDescent="0.25">
      <c r="A43" s="228"/>
      <c r="B43" s="232"/>
      <c r="C43" s="232"/>
      <c r="D43" s="232"/>
      <c r="E43" s="232"/>
      <c r="F43" s="232"/>
      <c r="G43" s="229"/>
    </row>
    <row r="44" spans="1:7" x14ac:dyDescent="0.25">
      <c r="A44" s="228"/>
      <c r="B44" s="232"/>
      <c r="C44" s="229"/>
      <c r="D44" s="226" t="s">
        <v>443</v>
      </c>
      <c r="E44" s="226"/>
      <c r="F44" s="227">
        <f>SUM(F38:F42)</f>
        <v>9.5199999999999993E-2</v>
      </c>
      <c r="G44" s="227"/>
    </row>
    <row r="45" spans="1:7" x14ac:dyDescent="0.25">
      <c r="A45" s="230"/>
      <c r="B45" s="230"/>
      <c r="C45" s="230"/>
      <c r="D45" s="230"/>
      <c r="E45" s="230"/>
      <c r="F45" s="230"/>
      <c r="G45" s="230"/>
    </row>
    <row r="46" spans="1:7" x14ac:dyDescent="0.25">
      <c r="A46" s="39" t="s">
        <v>106</v>
      </c>
      <c r="B46" s="153" t="s">
        <v>444</v>
      </c>
      <c r="C46" s="153"/>
      <c r="D46" s="153"/>
      <c r="E46" s="153"/>
      <c r="F46" s="233"/>
      <c r="G46" s="234"/>
    </row>
    <row r="47" spans="1:7" x14ac:dyDescent="0.25">
      <c r="A47" s="230"/>
      <c r="B47" s="230"/>
      <c r="C47" s="230"/>
      <c r="D47" s="230"/>
      <c r="E47" s="230"/>
      <c r="F47" s="230"/>
      <c r="G47" s="230"/>
    </row>
    <row r="48" spans="1:7" x14ac:dyDescent="0.25">
      <c r="A48" s="39" t="s">
        <v>108</v>
      </c>
      <c r="B48" s="148" t="s">
        <v>445</v>
      </c>
      <c r="C48" s="148"/>
      <c r="D48" s="148"/>
      <c r="E48" s="148"/>
      <c r="F48" s="224">
        <v>8.4900000000000003E-2</v>
      </c>
      <c r="G48" s="224"/>
    </row>
    <row r="49" spans="1:7" x14ac:dyDescent="0.25">
      <c r="A49" s="39" t="s">
        <v>109</v>
      </c>
      <c r="B49" s="236" t="s">
        <v>446</v>
      </c>
      <c r="C49" s="236"/>
      <c r="D49" s="236"/>
      <c r="E49" s="236"/>
      <c r="F49" s="224">
        <v>3.7000000000000002E-3</v>
      </c>
      <c r="G49" s="224"/>
    </row>
    <row r="50" spans="1:7" x14ac:dyDescent="0.25">
      <c r="A50" s="230"/>
      <c r="B50" s="230"/>
      <c r="C50" s="230"/>
      <c r="D50" s="230"/>
      <c r="E50" s="230"/>
      <c r="F50" s="230"/>
      <c r="G50" s="230"/>
    </row>
    <row r="51" spans="1:7" x14ac:dyDescent="0.25">
      <c r="A51" s="228"/>
      <c r="B51" s="232"/>
      <c r="C51" s="229"/>
      <c r="D51" s="226" t="s">
        <v>447</v>
      </c>
      <c r="E51" s="226"/>
      <c r="F51" s="227">
        <f>SUM(F48:F49)</f>
        <v>8.8599999999999998E-2</v>
      </c>
      <c r="G51" s="227"/>
    </row>
    <row r="52" spans="1:7" x14ac:dyDescent="0.25">
      <c r="A52" s="230"/>
      <c r="B52" s="230"/>
      <c r="C52" s="230"/>
      <c r="D52" s="230"/>
      <c r="E52" s="230"/>
      <c r="F52" s="230"/>
      <c r="G52" s="230"/>
    </row>
    <row r="53" spans="1:7" x14ac:dyDescent="0.25">
      <c r="A53" s="228"/>
      <c r="B53" s="232"/>
      <c r="C53" s="229"/>
      <c r="D53" s="227" t="s">
        <v>6</v>
      </c>
      <c r="E53" s="227"/>
      <c r="F53" s="227">
        <f>SUM(F51,F44,F34,F19)</f>
        <v>0.85689999999999977</v>
      </c>
      <c r="G53" s="227"/>
    </row>
  </sheetData>
  <mergeCells count="93">
    <mergeCell ref="A52:G52"/>
    <mergeCell ref="A53:C53"/>
    <mergeCell ref="D53:E53"/>
    <mergeCell ref="F53:G53"/>
    <mergeCell ref="B49:E49"/>
    <mergeCell ref="F49:G49"/>
    <mergeCell ref="A50:G50"/>
    <mergeCell ref="A51:C51"/>
    <mergeCell ref="D51:E51"/>
    <mergeCell ref="F51:G51"/>
    <mergeCell ref="A45:G45"/>
    <mergeCell ref="B46:E46"/>
    <mergeCell ref="F46:G46"/>
    <mergeCell ref="A47:G47"/>
    <mergeCell ref="B48:E48"/>
    <mergeCell ref="F48:G48"/>
    <mergeCell ref="A44:C44"/>
    <mergeCell ref="D44:E44"/>
    <mergeCell ref="F44:G44"/>
    <mergeCell ref="A37:G37"/>
    <mergeCell ref="B38:E38"/>
    <mergeCell ref="F38:G38"/>
    <mergeCell ref="B39:E39"/>
    <mergeCell ref="F39:G39"/>
    <mergeCell ref="B40:E40"/>
    <mergeCell ref="F40:G40"/>
    <mergeCell ref="B41:E41"/>
    <mergeCell ref="F41:G41"/>
    <mergeCell ref="B42:E42"/>
    <mergeCell ref="F42:G42"/>
    <mergeCell ref="A43:G43"/>
    <mergeCell ref="B36:E36"/>
    <mergeCell ref="F36:G36"/>
    <mergeCell ref="B30:E30"/>
    <mergeCell ref="F30:G30"/>
    <mergeCell ref="B31:E31"/>
    <mergeCell ref="F31:G31"/>
    <mergeCell ref="B32:E32"/>
    <mergeCell ref="F32:G32"/>
    <mergeCell ref="A33:G33"/>
    <mergeCell ref="A34:C34"/>
    <mergeCell ref="D34:E34"/>
    <mergeCell ref="F34:G34"/>
    <mergeCell ref="A35:G35"/>
    <mergeCell ref="B27:E27"/>
    <mergeCell ref="F27:G27"/>
    <mergeCell ref="B28:E28"/>
    <mergeCell ref="F28:G28"/>
    <mergeCell ref="B29:E29"/>
    <mergeCell ref="F29:G29"/>
    <mergeCell ref="B24:E24"/>
    <mergeCell ref="F24:G24"/>
    <mergeCell ref="B25:E25"/>
    <mergeCell ref="F25:G25"/>
    <mergeCell ref="B26:E26"/>
    <mergeCell ref="F26:G26"/>
    <mergeCell ref="A20:G20"/>
    <mergeCell ref="B21:E21"/>
    <mergeCell ref="F21:G21"/>
    <mergeCell ref="A22:G22"/>
    <mergeCell ref="B23:E23"/>
    <mergeCell ref="F23:G23"/>
    <mergeCell ref="B17:E17"/>
    <mergeCell ref="F17:G17"/>
    <mergeCell ref="A18:G18"/>
    <mergeCell ref="A19:C19"/>
    <mergeCell ref="D19:E19"/>
    <mergeCell ref="F19:G19"/>
    <mergeCell ref="B14:E14"/>
    <mergeCell ref="F14:G14"/>
    <mergeCell ref="B15:E15"/>
    <mergeCell ref="F15:G15"/>
    <mergeCell ref="B16:E16"/>
    <mergeCell ref="F16:G16"/>
    <mergeCell ref="B11:E11"/>
    <mergeCell ref="F11:G11"/>
    <mergeCell ref="B12:E12"/>
    <mergeCell ref="F12:G12"/>
    <mergeCell ref="B13:E13"/>
    <mergeCell ref="F13:G13"/>
    <mergeCell ref="B10:E10"/>
    <mergeCell ref="F10:G10"/>
    <mergeCell ref="A1:G2"/>
    <mergeCell ref="A3:G3"/>
    <mergeCell ref="A4:G4"/>
    <mergeCell ref="B5:E5"/>
    <mergeCell ref="F5:G5"/>
    <mergeCell ref="A6:G6"/>
    <mergeCell ref="B7:E7"/>
    <mergeCell ref="F7:G7"/>
    <mergeCell ref="A8:G8"/>
    <mergeCell ref="B9:E9"/>
    <mergeCell ref="F9:G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5</vt:i4>
      </vt:variant>
    </vt:vector>
  </HeadingPairs>
  <TitlesOfParts>
    <vt:vector size="14" baseType="lpstr">
      <vt:lpstr>ORÇAMENTO - SÃO JOSÉ</vt:lpstr>
      <vt:lpstr>ORÇAMENTO - NS FÁTIMA</vt:lpstr>
      <vt:lpstr>ORÇAMENTO - F. SERÁFICO</vt:lpstr>
      <vt:lpstr>ORÇAMENTO - TRINDADE VERNA</vt:lpstr>
      <vt:lpstr>BDI</vt:lpstr>
      <vt:lpstr>COMPOSIÇÕES</vt:lpstr>
      <vt:lpstr>RESUMO</vt:lpstr>
      <vt:lpstr>CRONOGRAMA</vt:lpstr>
      <vt:lpstr>TAXAS</vt:lpstr>
      <vt:lpstr>COMPOSIÇÕES!Titulos_de_impressao</vt:lpstr>
      <vt:lpstr>'ORÇAMENTO - F. SERÁFICO'!Titulos_de_impressao</vt:lpstr>
      <vt:lpstr>'ORÇAMENTO - NS FÁTIMA'!Titulos_de_impressao</vt:lpstr>
      <vt:lpstr>'ORÇAMENTO - SÃO JOSÉ'!Titulos_de_impressao</vt:lpstr>
      <vt:lpstr>'ORÇAMENTO - TRINDADE VERNA'!Titulos_de_impressao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HELVIO</dc:creator>
  <cp:lastModifiedBy>HELVIO</cp:lastModifiedBy>
  <cp:lastPrinted>2022-11-29T18:21:12Z</cp:lastPrinted>
  <dcterms:created xsi:type="dcterms:W3CDTF">2021-10-18T17:08:48Z</dcterms:created>
  <dcterms:modified xsi:type="dcterms:W3CDTF">2022-11-29T19:41:21Z</dcterms:modified>
</cp:coreProperties>
</file>